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2_Юннатов 21\"/>
    </mc:Choice>
  </mc:AlternateContent>
  <bookViews>
    <workbookView xWindow="15" yWindow="105" windowWidth="15795" windowHeight="12180" tabRatio="646" activeTab="1"/>
  </bookViews>
  <sheets>
    <sheet name="т5" sheetId="101" r:id="rId1"/>
    <sheet name="Т6  " sheetId="106" r:id="rId2"/>
  </sheets>
  <definedNames>
    <definedName name="_xlnm._FilterDatabase" localSheetId="0" hidden="1">т5!$A$8:$AE$18</definedName>
    <definedName name="_xlnm.Print_Titles" localSheetId="0">т5!$7:$7</definedName>
    <definedName name="_xlnm.Print_Titles" localSheetId="1">'Т6  '!$5:$5</definedName>
    <definedName name="_xlnm.Print_Area" localSheetId="0">т5!$A$1:$K$57</definedName>
    <definedName name="_xlnm.Print_Area" localSheetId="1">'Т6  '!$A$1:$C$29</definedName>
  </definedNames>
  <calcPr calcId="162913"/>
</workbook>
</file>

<file path=xl/calcChain.xml><?xml version="1.0" encoding="utf-8"?>
<calcChain xmlns="http://schemas.openxmlformats.org/spreadsheetml/2006/main">
  <c r="I15" i="101" l="1"/>
  <c r="J50" i="101" l="1"/>
  <c r="J41" i="101"/>
  <c r="J37" i="101"/>
  <c r="J27" i="101"/>
  <c r="J15" i="101"/>
  <c r="J56" i="101"/>
  <c r="J55" i="101"/>
  <c r="J53" i="101"/>
  <c r="J52" i="101"/>
  <c r="J51" i="101"/>
  <c r="J48" i="101"/>
  <c r="J47" i="101"/>
  <c r="J46" i="101"/>
  <c r="J45" i="101"/>
  <c r="J44" i="101"/>
  <c r="J43" i="101"/>
  <c r="J42" i="101"/>
  <c r="J35" i="101"/>
  <c r="J34" i="101"/>
  <c r="J33" i="101"/>
  <c r="J32" i="101"/>
  <c r="J31" i="101"/>
  <c r="J30" i="101"/>
  <c r="J29" i="101"/>
  <c r="J28" i="101"/>
  <c r="J26" i="101"/>
  <c r="J25" i="101"/>
  <c r="J24" i="101"/>
  <c r="J23" i="101"/>
  <c r="J21" i="101"/>
  <c r="J20" i="101"/>
  <c r="J19" i="101"/>
  <c r="J18" i="101"/>
  <c r="J17" i="101"/>
  <c r="J16" i="101"/>
  <c r="D15" i="101"/>
  <c r="D53" i="101"/>
  <c r="D48" i="101"/>
  <c r="D47" i="101"/>
  <c r="D46" i="101"/>
  <c r="D45" i="101"/>
  <c r="D44" i="101"/>
  <c r="D43" i="101"/>
  <c r="D42" i="101"/>
  <c r="E40" i="101"/>
  <c r="D40" i="101"/>
  <c r="E39" i="101"/>
  <c r="D39" i="101"/>
  <c r="E38" i="101"/>
  <c r="D38" i="101"/>
  <c r="I37" i="101"/>
  <c r="E35" i="101"/>
  <c r="D35" i="101"/>
  <c r="D34" i="101"/>
  <c r="D33" i="101"/>
  <c r="D32" i="101"/>
  <c r="D31" i="101"/>
  <c r="D30" i="101"/>
  <c r="D29" i="101"/>
  <c r="D28" i="101"/>
  <c r="E26" i="101"/>
  <c r="D26" i="101"/>
  <c r="E25" i="101"/>
  <c r="D25" i="101"/>
  <c r="E24" i="101"/>
  <c r="D24" i="101"/>
  <c r="E23" i="101"/>
  <c r="D23" i="101"/>
  <c r="D21" i="101"/>
  <c r="D20" i="101"/>
  <c r="D19" i="101"/>
  <c r="D18" i="101"/>
  <c r="D17" i="101"/>
  <c r="D16" i="101"/>
  <c r="R56" i="101"/>
  <c r="B56" i="101"/>
  <c r="R55" i="101"/>
  <c r="B55" i="101"/>
  <c r="R53" i="101"/>
  <c r="L53" i="101"/>
  <c r="R52" i="101"/>
  <c r="R51" i="101"/>
  <c r="R50" i="101"/>
  <c r="B50" i="101"/>
  <c r="R48" i="101"/>
  <c r="L48" i="101"/>
  <c r="R47" i="101"/>
  <c r="L47" i="101"/>
  <c r="R46" i="101"/>
  <c r="L46" i="101"/>
  <c r="R45" i="101"/>
  <c r="L45" i="101"/>
  <c r="R44" i="101"/>
  <c r="L44" i="101"/>
  <c r="R43" i="101"/>
  <c r="L43" i="101"/>
  <c r="R42" i="101"/>
  <c r="L42" i="101"/>
  <c r="R41" i="101"/>
  <c r="M40" i="101"/>
  <c r="M39" i="101"/>
  <c r="M38" i="101"/>
  <c r="B38" i="101"/>
  <c r="L38" i="101" s="1"/>
  <c r="Q37" i="101"/>
  <c r="R37" i="101" s="1"/>
  <c r="B37" i="101"/>
  <c r="L37" i="101" s="1"/>
  <c r="M35" i="101"/>
  <c r="R35" i="101" s="1"/>
  <c r="B35" i="101"/>
  <c r="L35" i="101" s="1"/>
  <c r="R34" i="101"/>
  <c r="B34" i="101"/>
  <c r="L34" i="101" s="1"/>
  <c r="R33" i="101"/>
  <c r="L33" i="101"/>
  <c r="B33" i="101"/>
  <c r="R32" i="101"/>
  <c r="B32" i="101"/>
  <c r="L32" i="101" s="1"/>
  <c r="R31" i="101"/>
  <c r="B31" i="101"/>
  <c r="L31" i="101" s="1"/>
  <c r="R30" i="101"/>
  <c r="B30" i="101"/>
  <c r="L30" i="101" s="1"/>
  <c r="R29" i="101"/>
  <c r="B29" i="101"/>
  <c r="L29" i="101" s="1"/>
  <c r="R28" i="101"/>
  <c r="B28" i="101"/>
  <c r="L28" i="101" s="1"/>
  <c r="R27" i="101"/>
  <c r="B27" i="101"/>
  <c r="L27" i="101" s="1"/>
  <c r="M26" i="101"/>
  <c r="R26" i="101" s="1"/>
  <c r="B26" i="101"/>
  <c r="L26" i="101" s="1"/>
  <c r="M25" i="101"/>
  <c r="R25" i="101" s="1"/>
  <c r="B25" i="101"/>
  <c r="L25" i="101" s="1"/>
  <c r="M24" i="101"/>
  <c r="R24" i="101" s="1"/>
  <c r="B24" i="101"/>
  <c r="L24" i="101" s="1"/>
  <c r="M23" i="101"/>
  <c r="R23" i="101" s="1"/>
  <c r="B23" i="101"/>
  <c r="L23" i="101" s="1"/>
  <c r="R21" i="101"/>
  <c r="L21" i="101"/>
  <c r="R20" i="101"/>
  <c r="L20" i="101"/>
  <c r="R19" i="101"/>
  <c r="L19" i="101"/>
  <c r="R18" i="101"/>
  <c r="L18" i="101"/>
  <c r="R17" i="101"/>
  <c r="L17" i="101"/>
  <c r="R16" i="101"/>
  <c r="L16" i="101"/>
  <c r="R15" i="101"/>
  <c r="L15" i="101"/>
  <c r="R14" i="101"/>
  <c r="L14" i="101"/>
  <c r="R13" i="101"/>
  <c r="L13" i="101"/>
  <c r="R12" i="101"/>
  <c r="L12" i="101"/>
  <c r="R11" i="101"/>
  <c r="L11" i="101"/>
  <c r="R10" i="101"/>
  <c r="L10" i="101"/>
  <c r="R9" i="101"/>
  <c r="L9" i="101"/>
  <c r="D37" i="101" l="1"/>
  <c r="J57" i="101"/>
  <c r="C6" i="106" s="1"/>
  <c r="B39" i="101"/>
  <c r="L39" i="101" s="1"/>
  <c r="D27" i="101"/>
  <c r="R57" i="101"/>
  <c r="B40" i="101"/>
  <c r="L40" i="101" s="1"/>
  <c r="B51" i="101"/>
  <c r="B52" i="101"/>
  <c r="B53" i="101"/>
  <c r="C11" i="106" l="1"/>
  <c r="C7" i="106" l="1"/>
  <c r="C8" i="106" s="1"/>
  <c r="C27" i="106" l="1"/>
  <c r="C10" i="106"/>
  <c r="D24" i="106" l="1"/>
  <c r="D22" i="106"/>
  <c r="D20" i="106"/>
  <c r="D18" i="106"/>
  <c r="D14" i="106"/>
  <c r="C25" i="106"/>
  <c r="C28" i="106" s="1"/>
  <c r="D21" i="106"/>
  <c r="D17" i="106"/>
  <c r="D13" i="106"/>
  <c r="D16" i="106"/>
  <c r="D19" i="106"/>
  <c r="D15" i="106"/>
  <c r="D23" i="106"/>
  <c r="D25" i="106" l="1"/>
</calcChain>
</file>

<file path=xl/sharedStrings.xml><?xml version="1.0" encoding="utf-8"?>
<sst xmlns="http://schemas.openxmlformats.org/spreadsheetml/2006/main" count="447" uniqueCount="132">
  <si>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</si>
  <si>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</si>
  <si>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</si>
  <si>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</si>
  <si>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</si>
  <si>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</si>
  <si>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</si>
  <si>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</si>
  <si>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</si>
  <si>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</si>
  <si>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</si>
  <si>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</si>
  <si>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Наименование показателя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</si>
  <si>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</si>
  <si>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6.1</t>
  </si>
  <si>
    <t>6.2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</si>
  <si>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</si>
  <si>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</si>
  <si>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</si>
  <si>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</si>
  <si>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</si>
  <si>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</si>
  <si>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</si>
  <si>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6.5</t>
  </si>
  <si>
    <t>6.4</t>
  </si>
  <si>
    <t>6.3</t>
  </si>
  <si>
    <t>Индекс-дефлятор МЭР</t>
  </si>
  <si>
    <t>НДС</t>
  </si>
  <si>
    <t>С УЧЕТОМ ДЕФЛЯТОРА</t>
  </si>
  <si>
    <t>Х</t>
  </si>
  <si>
    <t>км (по трассе)</t>
  </si>
  <si>
    <t>П5-01</t>
  </si>
  <si>
    <r>
      <t xml:space="preserve">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</si>
  <si>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6.6</t>
  </si>
  <si>
    <t>6.7</t>
  </si>
  <si>
    <t>6.8</t>
  </si>
  <si>
    <t>6.9</t>
  </si>
  <si>
    <t>6.10</t>
  </si>
  <si>
    <t>6.11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</si>
  <si>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млн. руб.</t>
  </si>
  <si>
    <t>6.12</t>
  </si>
  <si>
    <t>6.13</t>
  </si>
  <si>
    <t>Строительство (реконструкция) КЛ 6-500 кВ</t>
  </si>
  <si>
    <t>Коэффициент (Кф1/2/3)</t>
  </si>
  <si>
    <t>1</t>
  </si>
  <si>
    <t>КЛ 0,4 - 500 кВ</t>
  </si>
  <si>
    <t>1.1.</t>
  </si>
  <si>
    <t>1 КЛ  20 кВ  (сечение провода 500 мм2)</t>
  </si>
  <si>
    <t>К1-11-1..8</t>
  </si>
  <si>
    <t xml:space="preserve">1.2 </t>
  </si>
  <si>
    <t>1КЛ  20 кВ  (сечение провода 500 мм2)</t>
  </si>
  <si>
    <t>1.3.</t>
  </si>
  <si>
    <t>1.4.</t>
  </si>
  <si>
    <t>2КЛ (АПвПуг 3(1х500/70) 10 кВ</t>
  </si>
  <si>
    <t>1.2.</t>
  </si>
  <si>
    <t>4КЛ (АПвПуг 3(1х500/70) 10 кВ</t>
  </si>
  <si>
    <t>К1-08-1..8</t>
  </si>
  <si>
    <t xml:space="preserve">1КЛ(240 мм) 10 кВ </t>
  </si>
  <si>
    <t>1.9.</t>
  </si>
  <si>
    <t xml:space="preserve">24 КЛ  0,4 кВ </t>
  </si>
  <si>
    <t>К3-10-1..4</t>
  </si>
  <si>
    <t>1.10.</t>
  </si>
  <si>
    <t xml:space="preserve">20 КЛ  0,4 кВ </t>
  </si>
  <si>
    <t>1.11.</t>
  </si>
  <si>
    <t>1.12.</t>
  </si>
  <si>
    <t>12 КЛ  0,4 кВ</t>
  </si>
  <si>
    <t>1.13.</t>
  </si>
  <si>
    <t xml:space="preserve">8 КЛ  0,4 кВ </t>
  </si>
  <si>
    <t>2</t>
  </si>
  <si>
    <t>Устройство траншеи КЛ и восстановление благоустройства по трассе</t>
  </si>
  <si>
    <t>2.1.</t>
  </si>
  <si>
    <t>Б2-03-1..4</t>
  </si>
  <si>
    <t>2.2.</t>
  </si>
  <si>
    <t>2.3.</t>
  </si>
  <si>
    <t>2.4.</t>
  </si>
  <si>
    <t>Б2.1-02-1..4</t>
  </si>
  <si>
    <t>Б2-02-1..4</t>
  </si>
  <si>
    <t>2.9.</t>
  </si>
  <si>
    <t>Б2-01-1..4</t>
  </si>
  <si>
    <t>2.10.</t>
  </si>
  <si>
    <t>2.11.</t>
  </si>
  <si>
    <t>2.12.</t>
  </si>
  <si>
    <t>2.13.</t>
  </si>
  <si>
    <t>3</t>
  </si>
  <si>
    <t>Затраты на проектно-изыскательские работы по КЛ</t>
  </si>
  <si>
    <t>3.1.</t>
  </si>
  <si>
    <t>3.2.</t>
  </si>
  <si>
    <t>3.3.</t>
  </si>
  <si>
    <t>3.4.</t>
  </si>
  <si>
    <t>3.2</t>
  </si>
  <si>
    <t xml:space="preserve">Затраты на проектно-изыскательские работы по устройству ГНБ </t>
  </si>
  <si>
    <t>от 1,1 до 6</t>
  </si>
  <si>
    <t>1 объект</t>
  </si>
  <si>
    <t>П6-07</t>
  </si>
  <si>
    <t>Затраты на проектно-изыскательские работы по 2КЛ 20 кВ от РП 20 кВ до РТП 20/0,4 кВ</t>
  </si>
  <si>
    <t>2 КЛ  20 кВ от РТП 20/0,4 кВ до ТП №1.2,3,4 с.1,2</t>
  </si>
  <si>
    <t>3.5.</t>
  </si>
  <si>
    <t>Затраты на проектно-изыскательские работы по 24 КЛ  0,4 кВ от РТП 20/0,4 кВ до ГРЩ-1 0,4 кВ</t>
  </si>
  <si>
    <t>3.6.</t>
  </si>
  <si>
    <t>Затраты на проектно-изыскательские работы по 20 КЛ  0,4 кВ от  ТП №1.20/0,4 кВ до ГРЩ-2 0,4 кВ</t>
  </si>
  <si>
    <t>3.7.</t>
  </si>
  <si>
    <t>Затраты на проектно-изыскательские работы по 20 КЛ  0,4 кВ от  ТП №2 20/0,4 кВ до ГРЩ-3 0,4 кВ</t>
  </si>
  <si>
    <t>3.8.</t>
  </si>
  <si>
    <t>Затраты на проектно-изыскательские работы по 12КЛ  0,4 кВ от  ТП №3 20/0,4 кВ до ГРЩ-4 0,4 кВ</t>
  </si>
  <si>
    <t>3.9.</t>
  </si>
  <si>
    <t>Затраты на проектно-изыскательские работы по     8 КЛ  0,4 кВ от  ТП №4 20/0,4 кВ до ГРЩ-5 0,4 кВ</t>
  </si>
  <si>
    <t>Выполнение специального перехода кабельной линии методом ГНБ</t>
  </si>
  <si>
    <t>4.1.</t>
  </si>
  <si>
    <t>3 трубы диаметром 160мм</t>
  </si>
  <si>
    <t>1 км</t>
  </si>
  <si>
    <t>Н1-02-1…4</t>
  </si>
  <si>
    <t>4.2.</t>
  </si>
  <si>
    <t>6 труб диаметром 160мм</t>
  </si>
  <si>
    <t>4.3.</t>
  </si>
  <si>
    <t>4.4.</t>
  </si>
  <si>
    <t>Выполнение кабельных сооружений для прокладки кабельной линии (коллектор)</t>
  </si>
  <si>
    <t>5.1.</t>
  </si>
  <si>
    <t>Металлические лотки и короба</t>
  </si>
  <si>
    <t>1 м по трассе</t>
  </si>
  <si>
    <t>Н2-01</t>
  </si>
  <si>
    <t>5.2.</t>
  </si>
  <si>
    <t>Итого объем финансовых потребностей,  тыс рублей (без НДС)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</si>
  <si>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          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«Реконструкция 2КЛ 10 кВ АПвПуг-10 3х(1х240/50) протяженностью 0,19 км, направлением от РП-113 до ТП-1130, в т.ч ГНБ 0,03 км, расположенных по адресу: г. Москва, п Внуковское, д Рассказовка, ЖК "Рассказово" (участок трассы в районе г.Москва, б-р Андрея Тарковского, д.4), (2 КЛ в 2027 г.)"</t>
    </r>
  </si>
  <si>
    <r>
      <t xml:space="preserve">Итого объем финансовых потребностей </t>
    </r>
    <r>
      <rPr>
        <i/>
        <sz val="12"/>
        <color theme="1"/>
        <rFont val="Times New Roman"/>
        <family val="1"/>
        <charset val="204"/>
      </rPr>
      <t>ОФП</t>
    </r>
    <r>
      <rPr>
        <i/>
        <vertAlign val="superscript"/>
        <sz val="12"/>
        <color theme="1"/>
        <rFont val="Times New Roman"/>
        <family val="1"/>
        <charset val="204"/>
      </rPr>
      <t>УНЦ</t>
    </r>
    <r>
      <rPr>
        <i/>
        <vertAlign val="subscript"/>
        <sz val="12"/>
        <color theme="1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</si>
  <si>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Ф</t>
    </r>
    <r>
      <rPr>
        <i/>
        <vertAlign val="subscript"/>
        <sz val="12"/>
        <rFont val="Times New Roman"/>
        <family val="1"/>
        <charset val="204"/>
      </rPr>
      <t xml:space="preserve">24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</si>
  <si>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Symbol"/>
        <family val="1"/>
        <charset val="2"/>
      </rPr>
      <t>D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23  
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</si>
  <si>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ПР  </t>
    </r>
    <r>
      <rPr>
        <sz val="12"/>
        <rFont val="Times New Roman"/>
        <family val="1"/>
        <charset val="204"/>
      </rPr>
      <t xml:space="preserve">(с НДС) </t>
    </r>
  </si>
  <si>
    <t>1КЛ (АПвПуг 3(1х240/50) 10 кВ</t>
  </si>
  <si>
    <t>Коэффициент (Кф1/2/3)*Ц1</t>
  </si>
  <si>
    <t>Итого УНЦ с НДС 20% без индексации</t>
  </si>
  <si>
    <t>Итого УНЦ с НДС 20% с индексацией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</si>
  <si>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          </t>
    </r>
    <r>
      <rPr>
        <b/>
        <sz val="12"/>
        <rFont val="Times New Roman"/>
        <family val="1"/>
        <charset val="204"/>
      </rPr>
      <t xml:space="preserve"> «Реконструкция 1КЛ 10 кВ АСБл-10 3х240 протяженностью 0,09 км, направлением от ПС-671 с.3 яч.55 (ф.355 Б) до РТП-65 с.1 яч.5, расположенной по адресу: Московская обл., г. Химки, ул. Кудрявцева (участок кабельной линии по адресу: Московская обл., г. Химки, в районе ул.Юннатов, д.21, к.10),  (1 КЛ в 2027 г.)"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</si>
</sst>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_)"/>
    <numFmt numFmtId="168" formatCode="#,##0.000000"/>
    <numFmt numFmtId="169" formatCode="0.000000000000"/>
    <numFmt numFmtId="170" formatCode="#,##0.00000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0"/>
      <color rgb="FF00000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Mangal"/>
      <family val="2"/>
      <charset val="204"/>
    </font>
    <font>
      <sz val="10"/>
      <name val="Courier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Symbol"/>
      <family val="1"/>
      <charset val="2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6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35" fillId="0" borderId="0"/>
    <xf numFmtId="0" fontId="9" fillId="0" borderId="0"/>
    <xf numFmtId="0" fontId="8" fillId="0" borderId="0"/>
    <xf numFmtId="0" fontId="31" fillId="0" borderId="0"/>
    <xf numFmtId="0" fontId="7" fillId="0" borderId="0"/>
    <xf numFmtId="0" fontId="6" fillId="0" borderId="0"/>
    <xf numFmtId="0" fontId="37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6" fillId="0" borderId="0"/>
    <xf numFmtId="9" fontId="12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12" fillId="0" borderId="0"/>
    <xf numFmtId="0" fontId="33" fillId="0" borderId="0"/>
    <xf numFmtId="0" fontId="33" fillId="0" borderId="0"/>
    <xf numFmtId="167" fontId="48" fillId="0" borderId="0"/>
    <xf numFmtId="0" fontId="12" fillId="0" borderId="0"/>
    <xf numFmtId="0" fontId="1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164" fontId="31" fillId="0" borderId="0" applyFont="0" applyFill="0" applyBorder="0" applyAlignment="0" applyProtection="0"/>
    <xf numFmtId="0" fontId="22" fillId="0" borderId="6" applyNumberFormat="0" applyFill="0" applyAlignment="0" applyProtection="0"/>
    <xf numFmtId="0" fontId="16" fillId="25" borderId="1" applyNumberFormat="0" applyAlignment="0" applyProtection="0"/>
    <xf numFmtId="0" fontId="22" fillId="0" borderId="6" applyNumberFormat="0" applyFill="0" applyAlignment="0" applyProtection="0"/>
    <xf numFmtId="0" fontId="26" fillId="26" borderId="0" applyNumberFormat="0" applyBorder="0" applyAlignment="0" applyProtection="0"/>
    <xf numFmtId="0" fontId="15" fillId="27" borderId="0" applyNumberFormat="0" applyBorder="0" applyAlignment="0" applyProtection="0"/>
    <xf numFmtId="0" fontId="26" fillId="26" borderId="0" applyNumberFormat="0" applyBorder="0" applyAlignment="0" applyProtection="0"/>
    <xf numFmtId="0" fontId="2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28" borderId="8" applyNumberFormat="0" applyAlignment="0" applyProtection="0"/>
    <xf numFmtId="0" fontId="19" fillId="0" borderId="3" applyNumberFormat="0" applyFill="0" applyAlignment="0" applyProtection="0"/>
    <xf numFmtId="0" fontId="33" fillId="28" borderId="8" applyNumberFormat="0" applyAlignment="0" applyProtection="0"/>
    <xf numFmtId="0" fontId="15" fillId="29" borderId="0" applyNumberFormat="0" applyBorder="0" applyAlignment="0" applyProtection="0"/>
    <xf numFmtId="0" fontId="28" fillId="0" borderId="9" applyNumberFormat="0" applyFill="0" applyAlignment="0" applyProtection="0"/>
    <xf numFmtId="0" fontId="23" fillId="30" borderId="7" applyNumberFormat="0" applyAlignment="0" applyProtection="0"/>
    <xf numFmtId="0" fontId="29" fillId="0" borderId="0" applyNumberFormat="0" applyFill="0" applyBorder="0" applyAlignment="0" applyProtection="0"/>
    <xf numFmtId="0" fontId="12" fillId="0" borderId="0"/>
    <xf numFmtId="0" fontId="12" fillId="0" borderId="0"/>
  </cellStyleXfs>
  <cellXfs count="113">
    <xf numFmtId="0" fontId="0" fillId="0" borderId="0" xfId="0"/>
    <xf numFmtId="0" fontId="12" fillId="24" borderId="0" xfId="37" applyFont="1" applyFill="1"/>
    <xf numFmtId="0" fontId="12" fillId="24" borderId="0" xfId="37" applyFont="1" applyFill="1" applyAlignment="1">
      <alignment horizontal="center" wrapText="1"/>
    </xf>
    <xf numFmtId="0" fontId="12" fillId="24" borderId="0" xfId="37" applyFont="1" applyFill="1" applyAlignment="1">
      <alignment wrapText="1"/>
    </xf>
    <xf numFmtId="49" fontId="12" fillId="24" borderId="0" xfId="37" applyNumberFormat="1" applyFont="1" applyFill="1" applyAlignment="1">
      <alignment horizontal="center"/>
    </xf>
    <xf numFmtId="0" fontId="12" fillId="24" borderId="0" xfId="37" applyFont="1" applyFill="1" applyBorder="1"/>
    <xf numFmtId="0" fontId="12" fillId="24" borderId="0" xfId="37" applyFont="1" applyFill="1" applyBorder="1" applyAlignment="1">
      <alignment horizontal="center"/>
    </xf>
    <xf numFmtId="3" fontId="12" fillId="24" borderId="0" xfId="37" applyNumberFormat="1" applyFont="1" applyFill="1" applyBorder="1" applyAlignment="1">
      <alignment horizontal="center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0" xfId="37" applyFont="1" applyFill="1" applyBorder="1" applyAlignment="1">
      <alignment horizontal="center" vertical="center" wrapText="1"/>
    </xf>
    <xf numFmtId="2" fontId="12" fillId="24" borderId="0" xfId="37" applyNumberFormat="1" applyFont="1" applyFill="1" applyAlignment="1">
      <alignment horizontal="center" vertical="center"/>
    </xf>
    <xf numFmtId="3" fontId="12" fillId="24" borderId="0" xfId="37" applyNumberFormat="1" applyFont="1" applyFill="1" applyAlignment="1">
      <alignment horizontal="center"/>
    </xf>
    <xf numFmtId="0" fontId="38" fillId="24" borderId="10" xfId="37" applyFont="1" applyFill="1" applyBorder="1" applyAlignment="1">
      <alignment horizontal="center" vertical="center" wrapText="1"/>
    </xf>
    <xf numFmtId="49" fontId="38" fillId="24" borderId="10" xfId="37" applyNumberFormat="1" applyFont="1" applyFill="1" applyBorder="1" applyAlignment="1">
      <alignment horizontal="center" vertical="center"/>
    </xf>
    <xf numFmtId="0" fontId="38" fillId="24" borderId="10" xfId="37" applyFont="1" applyFill="1" applyBorder="1" applyAlignment="1">
      <alignment vertical="center" wrapText="1"/>
    </xf>
    <xf numFmtId="0" fontId="12" fillId="24" borderId="10" xfId="37" applyFont="1" applyFill="1" applyBorder="1" applyAlignment="1">
      <alignment horizontal="left" vertical="center" wrapText="1"/>
    </xf>
    <xf numFmtId="3" fontId="38" fillId="24" borderId="0" xfId="37" applyNumberFormat="1" applyFont="1" applyFill="1" applyBorder="1" applyAlignment="1">
      <alignment horizontal="center" vertical="center"/>
    </xf>
    <xf numFmtId="0" fontId="12" fillId="24" borderId="0" xfId="37" applyFont="1" applyFill="1" applyAlignment="1">
      <alignment horizontal="center" vertical="center"/>
    </xf>
    <xf numFmtId="49" fontId="38" fillId="24" borderId="10" xfId="131" applyNumberFormat="1" applyFont="1" applyFill="1" applyBorder="1" applyAlignment="1">
      <alignment horizontal="center" vertical="center" wrapText="1"/>
    </xf>
    <xf numFmtId="0" fontId="38" fillId="0" borderId="10" xfId="37" applyNumberFormat="1" applyFont="1" applyFill="1" applyBorder="1" applyAlignment="1">
      <alignment horizontal="left" vertical="center"/>
    </xf>
    <xf numFmtId="2" fontId="12" fillId="24" borderId="0" xfId="37" applyNumberFormat="1" applyFont="1" applyFill="1"/>
    <xf numFmtId="0" fontId="12" fillId="0" borderId="10" xfId="37" applyFont="1" applyFill="1" applyBorder="1" applyAlignment="1">
      <alignment horizontal="left" vertical="center" wrapText="1"/>
    </xf>
    <xf numFmtId="9" fontId="12" fillId="24" borderId="0" xfId="37" applyNumberFormat="1" applyFont="1" applyFill="1"/>
    <xf numFmtId="49" fontId="12" fillId="0" borderId="0" xfId="165" applyNumberFormat="1" applyFont="1" applyAlignment="1">
      <alignment horizontal="center"/>
    </xf>
    <xf numFmtId="0" fontId="13" fillId="0" borderId="0" xfId="165" applyFont="1" applyAlignment="1">
      <alignment vertical="center" wrapText="1"/>
    </xf>
    <xf numFmtId="0" fontId="13" fillId="0" borderId="0" xfId="165" applyFont="1" applyAlignment="1">
      <alignment horizontal="center" vertical="center" wrapText="1"/>
    </xf>
    <xf numFmtId="0" fontId="12" fillId="0" borderId="0" xfId="165" applyFont="1" applyAlignment="1">
      <alignment horizontal="center" wrapText="1"/>
    </xf>
    <xf numFmtId="0" fontId="12" fillId="0" borderId="0" xfId="165" applyFont="1" applyAlignment="1">
      <alignment horizontal="center"/>
    </xf>
    <xf numFmtId="3" fontId="12" fillId="0" borderId="0" xfId="165" applyNumberFormat="1" applyFont="1" applyAlignment="1">
      <alignment horizontal="center"/>
    </xf>
    <xf numFmtId="0" fontId="12" fillId="0" borderId="0" xfId="165" applyFont="1" applyAlignment="1">
      <alignment horizontal="center" vertical="center" wrapText="1"/>
    </xf>
    <xf numFmtId="0" fontId="12" fillId="0" borderId="0" xfId="165" applyFont="1"/>
    <xf numFmtId="4" fontId="12" fillId="0" borderId="0" xfId="165" applyNumberFormat="1" applyFont="1"/>
    <xf numFmtId="0" fontId="12" fillId="0" borderId="10" xfId="165" applyFont="1" applyBorder="1" applyAlignment="1">
      <alignment horizontal="center" vertical="center" wrapText="1"/>
    </xf>
    <xf numFmtId="4" fontId="12" fillId="0" borderId="10" xfId="165" applyNumberFormat="1" applyFont="1" applyBorder="1" applyAlignment="1">
      <alignment horizontal="center" vertical="center" wrapText="1"/>
    </xf>
    <xf numFmtId="0" fontId="49" fillId="0" borderId="10" xfId="166" applyFont="1" applyBorder="1" applyAlignment="1">
      <alignment horizontal="center" vertical="center" wrapText="1"/>
    </xf>
    <xf numFmtId="3" fontId="12" fillId="0" borderId="10" xfId="165" applyNumberFormat="1" applyFont="1" applyBorder="1" applyAlignment="1">
      <alignment horizontal="center" vertical="center" wrapText="1"/>
    </xf>
    <xf numFmtId="49" fontId="12" fillId="0" borderId="14" xfId="165" applyNumberFormat="1" applyFont="1" applyBorder="1" applyAlignment="1">
      <alignment horizontal="center" vertical="center" wrapText="1"/>
    </xf>
    <xf numFmtId="49" fontId="49" fillId="0" borderId="14" xfId="165" applyNumberFormat="1" applyFont="1" applyBorder="1" applyAlignment="1">
      <alignment horizontal="center" vertical="center" wrapText="1"/>
    </xf>
    <xf numFmtId="0" fontId="49" fillId="0" borderId="10" xfId="165" applyFont="1" applyBorder="1" applyAlignment="1">
      <alignment horizontal="left" vertical="center" wrapText="1"/>
    </xf>
    <xf numFmtId="0" fontId="34" fillId="0" borderId="10" xfId="165" applyFont="1" applyBorder="1" applyAlignment="1">
      <alignment horizontal="center" vertical="center" wrapText="1"/>
    </xf>
    <xf numFmtId="3" fontId="34" fillId="0" borderId="10" xfId="165" applyNumberFormat="1" applyFont="1" applyBorder="1" applyAlignment="1">
      <alignment horizontal="center" vertical="center" wrapText="1"/>
    </xf>
    <xf numFmtId="4" fontId="34" fillId="0" borderId="10" xfId="165" applyNumberFormat="1" applyFont="1" applyBorder="1" applyAlignment="1">
      <alignment horizontal="center" vertical="center" wrapText="1"/>
    </xf>
    <xf numFmtId="4" fontId="49" fillId="0" borderId="10" xfId="165" applyNumberFormat="1" applyFont="1" applyBorder="1" applyAlignment="1">
      <alignment horizontal="center" vertical="center" wrapText="1"/>
    </xf>
    <xf numFmtId="49" fontId="49" fillId="31" borderId="17" xfId="165" applyNumberFormat="1" applyFont="1" applyFill="1" applyBorder="1" applyAlignment="1">
      <alignment horizontal="center" vertical="center"/>
    </xf>
    <xf numFmtId="0" fontId="49" fillId="31" borderId="17" xfId="165" applyFont="1" applyFill="1" applyBorder="1" applyAlignment="1">
      <alignment vertical="center" wrapText="1"/>
    </xf>
    <xf numFmtId="0" fontId="34" fillId="31" borderId="10" xfId="165" applyFont="1" applyFill="1" applyBorder="1" applyAlignment="1">
      <alignment horizontal="center" vertical="center" wrapText="1"/>
    </xf>
    <xf numFmtId="0" fontId="49" fillId="31" borderId="10" xfId="165" applyFont="1" applyFill="1" applyBorder="1" applyAlignment="1">
      <alignment horizontal="center" vertical="center" wrapText="1"/>
    </xf>
    <xf numFmtId="4" fontId="34" fillId="31" borderId="10" xfId="165" applyNumberFormat="1" applyFont="1" applyFill="1" applyBorder="1" applyAlignment="1">
      <alignment horizontal="center" vertical="center" wrapText="1"/>
    </xf>
    <xf numFmtId="0" fontId="12" fillId="31" borderId="0" xfId="165" applyFont="1" applyFill="1" applyAlignment="1">
      <alignment horizontal="center" vertical="center" wrapText="1"/>
    </xf>
    <xf numFmtId="3" fontId="34" fillId="31" borderId="10" xfId="165" applyNumberFormat="1" applyFont="1" applyFill="1" applyBorder="1" applyAlignment="1">
      <alignment horizontal="center" vertical="center" wrapText="1"/>
    </xf>
    <xf numFmtId="0" fontId="12" fillId="0" borderId="0" xfId="165" applyFont="1" applyFill="1" applyAlignment="1">
      <alignment horizontal="center" vertical="center" wrapText="1"/>
    </xf>
    <xf numFmtId="4" fontId="49" fillId="31" borderId="10" xfId="165" applyNumberFormat="1" applyFont="1" applyFill="1" applyBorder="1" applyAlignment="1">
      <alignment horizontal="center" vertical="center" wrapText="1"/>
    </xf>
    <xf numFmtId="3" fontId="49" fillId="31" borderId="10" xfId="165" applyNumberFormat="1" applyFont="1" applyFill="1" applyBorder="1" applyAlignment="1">
      <alignment horizontal="center" vertical="center" wrapText="1"/>
    </xf>
    <xf numFmtId="49" fontId="49" fillId="0" borderId="10" xfId="165" applyNumberFormat="1" applyFont="1" applyBorder="1" applyAlignment="1">
      <alignment horizontal="center" vertical="center"/>
    </xf>
    <xf numFmtId="0" fontId="49" fillId="0" borderId="10" xfId="165" applyFont="1" applyBorder="1" applyAlignment="1">
      <alignment vertical="center" wrapText="1"/>
    </xf>
    <xf numFmtId="0" fontId="49" fillId="0" borderId="10" xfId="165" applyFont="1" applyBorder="1" applyAlignment="1">
      <alignment horizontal="center" vertical="center" wrapText="1"/>
    </xf>
    <xf numFmtId="3" fontId="49" fillId="0" borderId="10" xfId="165" applyNumberFormat="1" applyFont="1" applyBorder="1" applyAlignment="1">
      <alignment horizontal="center" vertical="center" wrapText="1"/>
    </xf>
    <xf numFmtId="49" fontId="49" fillId="31" borderId="10" xfId="165" applyNumberFormat="1" applyFont="1" applyFill="1" applyBorder="1" applyAlignment="1">
      <alignment horizontal="center" vertical="center"/>
    </xf>
    <xf numFmtId="0" fontId="49" fillId="31" borderId="10" xfId="165" applyFont="1" applyFill="1" applyBorder="1" applyAlignment="1">
      <alignment vertical="center" wrapText="1"/>
    </xf>
    <xf numFmtId="49" fontId="49" fillId="24" borderId="10" xfId="165" applyNumberFormat="1" applyFont="1" applyFill="1" applyBorder="1" applyAlignment="1">
      <alignment horizontal="center" vertical="center"/>
    </xf>
    <xf numFmtId="0" fontId="49" fillId="24" borderId="10" xfId="165" applyFont="1" applyFill="1" applyBorder="1" applyAlignment="1">
      <alignment vertical="center" wrapText="1"/>
    </xf>
    <xf numFmtId="0" fontId="34" fillId="24" borderId="10" xfId="165" applyFont="1" applyFill="1" applyBorder="1" applyAlignment="1">
      <alignment horizontal="center" vertical="center" wrapText="1"/>
    </xf>
    <xf numFmtId="0" fontId="49" fillId="24" borderId="10" xfId="165" applyFont="1" applyFill="1" applyBorder="1" applyAlignment="1">
      <alignment horizontal="center" vertical="center" wrapText="1"/>
    </xf>
    <xf numFmtId="4" fontId="34" fillId="24" borderId="10" xfId="165" applyNumberFormat="1" applyFont="1" applyFill="1" applyBorder="1" applyAlignment="1">
      <alignment horizontal="center" vertical="center" wrapText="1"/>
    </xf>
    <xf numFmtId="3" fontId="49" fillId="24" borderId="10" xfId="165" applyNumberFormat="1" applyFont="1" applyFill="1" applyBorder="1" applyAlignment="1">
      <alignment horizontal="center" vertical="center" wrapText="1"/>
    </xf>
    <xf numFmtId="0" fontId="49" fillId="31" borderId="17" xfId="165" applyFont="1" applyFill="1" applyBorder="1" applyAlignment="1">
      <alignment horizontal="left" vertical="center" wrapText="1"/>
    </xf>
    <xf numFmtId="0" fontId="12" fillId="31" borderId="10" xfId="165" applyFont="1" applyFill="1" applyBorder="1" applyAlignment="1">
      <alignment horizontal="center" vertical="center" wrapText="1"/>
    </xf>
    <xf numFmtId="4" fontId="12" fillId="31" borderId="10" xfId="165" applyNumberFormat="1" applyFont="1" applyFill="1" applyBorder="1" applyAlignment="1">
      <alignment horizontal="center" vertical="center" wrapText="1"/>
    </xf>
    <xf numFmtId="3" fontId="12" fillId="31" borderId="10" xfId="165" applyNumberFormat="1" applyFont="1" applyFill="1" applyBorder="1" applyAlignment="1">
      <alignment horizontal="center" vertical="center" wrapText="1"/>
    </xf>
    <xf numFmtId="0" fontId="49" fillId="0" borderId="10" xfId="166" applyFont="1" applyBorder="1" applyAlignment="1">
      <alignment vertical="center" wrapText="1"/>
    </xf>
    <xf numFmtId="4" fontId="13" fillId="0" borderId="10" xfId="165" applyNumberFormat="1" applyFont="1" applyBorder="1" applyAlignment="1">
      <alignment horizontal="center" vertical="center" wrapText="1"/>
    </xf>
    <xf numFmtId="0" fontId="34" fillId="0" borderId="0" xfId="165" applyFont="1" applyAlignment="1">
      <alignment vertical="center"/>
    </xf>
    <xf numFmtId="0" fontId="51" fillId="0" borderId="0" xfId="165" applyFont="1" applyAlignment="1">
      <alignment vertical="center"/>
    </xf>
    <xf numFmtId="0" fontId="36" fillId="0" borderId="16" xfId="165" applyFont="1" applyBorder="1" applyAlignment="1">
      <alignment vertical="center" wrapText="1"/>
    </xf>
    <xf numFmtId="0" fontId="36" fillId="0" borderId="0" xfId="165" applyFont="1" applyAlignment="1">
      <alignment vertical="center"/>
    </xf>
    <xf numFmtId="0" fontId="36" fillId="0" borderId="0" xfId="165" applyFont="1" applyBorder="1" applyAlignment="1">
      <alignment vertical="center" wrapText="1"/>
    </xf>
    <xf numFmtId="0" fontId="13" fillId="0" borderId="0" xfId="165" applyFont="1" applyAlignment="1">
      <alignment horizontal="center" wrapText="1"/>
    </xf>
    <xf numFmtId="0" fontId="13" fillId="0" borderId="0" xfId="165" applyFont="1" applyAlignment="1">
      <alignment wrapText="1"/>
    </xf>
    <xf numFmtId="0" fontId="13" fillId="0" borderId="0" xfId="165" applyFont="1" applyAlignment="1">
      <alignment horizontal="center"/>
    </xf>
    <xf numFmtId="3" fontId="13" fillId="0" borderId="0" xfId="165" applyNumberFormat="1" applyFont="1" applyAlignment="1">
      <alignment horizontal="center"/>
    </xf>
    <xf numFmtId="0" fontId="13" fillId="0" borderId="0" xfId="165" applyFont="1"/>
    <xf numFmtId="0" fontId="12" fillId="0" borderId="0" xfId="165" applyFont="1" applyAlignment="1">
      <alignment wrapText="1"/>
    </xf>
    <xf numFmtId="0" fontId="12" fillId="24" borderId="10" xfId="165" applyFont="1" applyFill="1" applyBorder="1" applyAlignment="1">
      <alignment horizontal="center" vertical="center" wrapText="1"/>
    </xf>
    <xf numFmtId="4" fontId="12" fillId="24" borderId="10" xfId="165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center" vertical="center" wrapText="1"/>
    </xf>
    <xf numFmtId="0" fontId="34" fillId="31" borderId="17" xfId="165" applyFont="1" applyFill="1" applyBorder="1" applyAlignment="1">
      <alignment horizontal="center" vertical="center" wrapText="1"/>
    </xf>
    <xf numFmtId="0" fontId="34" fillId="32" borderId="17" xfId="165" applyFont="1" applyFill="1" applyBorder="1" applyAlignment="1">
      <alignment horizontal="center" vertical="center" wrapText="1"/>
    </xf>
    <xf numFmtId="0" fontId="34" fillId="31" borderId="10" xfId="165" applyFont="1" applyFill="1" applyBorder="1" applyAlignment="1">
      <alignment vertical="center" wrapText="1"/>
    </xf>
    <xf numFmtId="168" fontId="13" fillId="24" borderId="0" xfId="37" applyNumberFormat="1" applyFont="1" applyFill="1" applyAlignment="1">
      <alignment vertical="center"/>
    </xf>
    <xf numFmtId="168" fontId="12" fillId="24" borderId="0" xfId="37" applyNumberFormat="1" applyFont="1" applyFill="1" applyBorder="1" applyAlignment="1">
      <alignment horizontal="center"/>
    </xf>
    <xf numFmtId="168" fontId="38" fillId="24" borderId="0" xfId="37" applyNumberFormat="1" applyFont="1" applyFill="1" applyBorder="1" applyAlignment="1">
      <alignment horizontal="left" vertical="center"/>
    </xf>
    <xf numFmtId="168" fontId="38" fillId="24" borderId="0" xfId="37" applyNumberFormat="1" applyFont="1" applyFill="1" applyBorder="1" applyAlignment="1">
      <alignment horizontal="center" vertical="center"/>
    </xf>
    <xf numFmtId="168" fontId="12" fillId="24" borderId="0" xfId="37" applyNumberFormat="1" applyFont="1" applyFill="1" applyAlignment="1">
      <alignment horizontal="center" vertical="center" wrapText="1"/>
    </xf>
    <xf numFmtId="168" fontId="38" fillId="24" borderId="10" xfId="37" applyNumberFormat="1" applyFont="1" applyFill="1" applyBorder="1" applyAlignment="1">
      <alignment horizontal="center" vertical="center"/>
    </xf>
    <xf numFmtId="168" fontId="38" fillId="24" borderId="10" xfId="132" applyNumberFormat="1" applyFont="1" applyFill="1" applyBorder="1" applyAlignment="1">
      <alignment horizontal="center" vertical="center"/>
    </xf>
    <xf numFmtId="168" fontId="12" fillId="24" borderId="0" xfId="37" applyNumberFormat="1" applyFont="1" applyFill="1" applyAlignment="1">
      <alignment horizontal="center"/>
    </xf>
    <xf numFmtId="169" fontId="53" fillId="0" borderId="18" xfId="0" applyNumberFormat="1" applyFont="1" applyBorder="1" applyAlignment="1">
      <alignment horizontal="center" wrapText="1"/>
    </xf>
    <xf numFmtId="170" fontId="38" fillId="24" borderId="10" xfId="37" applyNumberFormat="1" applyFont="1" applyFill="1" applyBorder="1" applyAlignment="1">
      <alignment horizontal="center" vertical="center" wrapText="1"/>
    </xf>
    <xf numFmtId="0" fontId="12" fillId="0" borderId="11" xfId="165" applyFont="1" applyBorder="1" applyAlignment="1">
      <alignment horizontal="center"/>
    </xf>
    <xf numFmtId="0" fontId="12" fillId="0" borderId="13" xfId="165" applyFont="1" applyBorder="1" applyAlignment="1">
      <alignment horizontal="center"/>
    </xf>
    <xf numFmtId="0" fontId="12" fillId="0" borderId="12" xfId="165" applyFont="1" applyBorder="1" applyAlignment="1">
      <alignment horizontal="center"/>
    </xf>
    <xf numFmtId="0" fontId="12" fillId="0" borderId="11" xfId="165" applyFont="1" applyBorder="1" applyAlignment="1">
      <alignment horizontal="center" vertical="center" wrapText="1"/>
    </xf>
    <xf numFmtId="0" fontId="12" fillId="0" borderId="13" xfId="165" applyFont="1" applyBorder="1" applyAlignment="1">
      <alignment horizontal="center" vertical="center" wrapText="1"/>
    </xf>
    <xf numFmtId="0" fontId="12" fillId="0" borderId="12" xfId="165" applyFont="1" applyBorder="1" applyAlignment="1">
      <alignment horizontal="center" vertical="center" wrapText="1"/>
    </xf>
    <xf numFmtId="0" fontId="34" fillId="0" borderId="0" xfId="165" applyFont="1" applyAlignment="1">
      <alignment horizontal="left" vertical="center" wrapText="1"/>
    </xf>
    <xf numFmtId="0" fontId="12" fillId="0" borderId="15" xfId="165" applyFont="1" applyBorder="1" applyAlignment="1">
      <alignment horizontal="center" vertical="center"/>
    </xf>
    <xf numFmtId="0" fontId="12" fillId="0" borderId="10" xfId="165" applyFont="1" applyBorder="1" applyAlignment="1">
      <alignment horizontal="center"/>
    </xf>
    <xf numFmtId="0" fontId="49" fillId="0" borderId="11" xfId="165" applyFont="1" applyBorder="1" applyAlignment="1">
      <alignment horizontal="center" vertical="center" wrapText="1"/>
    </xf>
    <xf numFmtId="0" fontId="12" fillId="0" borderId="10" xfId="165" applyFont="1" applyBorder="1" applyAlignment="1">
      <alignment horizontal="center" vertical="center" wrapText="1"/>
    </xf>
    <xf numFmtId="49" fontId="12" fillId="0" borderId="10" xfId="165" applyNumberFormat="1" applyFont="1" applyBorder="1" applyAlignment="1">
      <alignment horizontal="center" vertical="center" wrapText="1"/>
    </xf>
    <xf numFmtId="0" fontId="12" fillId="24" borderId="0" xfId="131" applyFont="1" applyFill="1" applyBorder="1" applyAlignment="1">
      <alignment horizontal="center" vertical="center" wrapText="1"/>
    </xf>
    <xf numFmtId="0" fontId="12" fillId="24" borderId="15" xfId="131" applyFont="1" applyFill="1" applyBorder="1" applyAlignment="1">
      <alignment horizontal="center" vertical="center" wrapText="1"/>
    </xf>
  </cellXfs>
  <cellStyles count="16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Excel Built-in Normal" xfId="13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134"/>
    <cellStyle name="Обычный 101" xfId="59"/>
    <cellStyle name="Обычный 11" xfId="74"/>
    <cellStyle name="Обычный 12" xfId="135"/>
    <cellStyle name="Обычный 12 2" xfId="47"/>
    <cellStyle name="Обычный 14" xfId="72"/>
    <cellStyle name="Обычный 14 2" xfId="127"/>
    <cellStyle name="Обычный 14 3" xfId="109"/>
    <cellStyle name="Обычный 14 4" xfId="91"/>
    <cellStyle name="Обычный 2" xfId="36"/>
    <cellStyle name="Обычный 2 13" xfId="165"/>
    <cellStyle name="Обычный 2 2" xfId="56"/>
    <cellStyle name="Обычный 2 2 2" xfId="60"/>
    <cellStyle name="Обычный 2 2 2 2" xfId="61"/>
    <cellStyle name="Обычный 2 3 2 2" xfId="54"/>
    <cellStyle name="Обычный 2 3 2 2 2" xfId="55"/>
    <cellStyle name="Обычный 2 3 2 2 2 2" xfId="57"/>
    <cellStyle name="Обычный 2 3 2 2 2 2 2" xfId="119"/>
    <cellStyle name="Обычный 2 3 2 2 2 2 3" xfId="101"/>
    <cellStyle name="Обычный 2 3 2 2 2 2 4" xfId="83"/>
    <cellStyle name="Обычный 2 3 2 2 2 3" xfId="118"/>
    <cellStyle name="Обычный 2 3 2 2 2 4" xfId="100"/>
    <cellStyle name="Обычный 2 3 2 2 2 5" xfId="82"/>
    <cellStyle name="Обычный 2 3 2 2 3" xfId="117"/>
    <cellStyle name="Обычный 2 3 2 2 4" xfId="99"/>
    <cellStyle name="Обычный 2 3 2 2 5" xfId="81"/>
    <cellStyle name="Обычный 2 4" xfId="136"/>
    <cellStyle name="Обычный 25 2" xfId="137"/>
    <cellStyle name="Обычный 26" xfId="166"/>
    <cellStyle name="Обычный 3" xfId="37"/>
    <cellStyle name="Обычный 3 2" xfId="138"/>
    <cellStyle name="Обычный 3 2 2" xfId="139"/>
    <cellStyle name="Обычный 3 2 2 2" xfId="48"/>
    <cellStyle name="Обычный 4" xfId="44"/>
    <cellStyle name="Обычный 4 2" xfId="62"/>
    <cellStyle name="Обычный 4 3" xfId="63"/>
    <cellStyle name="Обычный 4 4" xfId="140"/>
    <cellStyle name="Обычный 5" xfId="45"/>
    <cellStyle name="Обычный 5 2" xfId="64"/>
    <cellStyle name="Обычный 5 2 2" xfId="121"/>
    <cellStyle name="Обычный 5 2 3" xfId="103"/>
    <cellStyle name="Обычный 5 2 4" xfId="85"/>
    <cellStyle name="Обычный 6" xfId="46"/>
    <cellStyle name="Обычный 6 2" xfId="52"/>
    <cellStyle name="Обычный 6 2 2" xfId="58"/>
    <cellStyle name="Обычный 6 2 2 2" xfId="73"/>
    <cellStyle name="Обычный 6 2 2 2 2" xfId="128"/>
    <cellStyle name="Обычный 6 2 2 2 2 2" xfId="141"/>
    <cellStyle name="Обычный 6 2 2 2 3" xfId="110"/>
    <cellStyle name="Обычный 6 2 2 2 3 2" xfId="75"/>
    <cellStyle name="Обычный 6 2 2 2 3 2 2" xfId="129"/>
    <cellStyle name="Обычный 6 2 2 2 3 2 2 2" xfId="131"/>
    <cellStyle name="Обычный 6 2 2 2 3 2 3" xfId="111"/>
    <cellStyle name="Обычный 6 2 2 2 3 2 4" xfId="93"/>
    <cellStyle name="Обычный 6 2 2 2 3 3" xfId="142"/>
    <cellStyle name="Обычный 6 2 2 2 4" xfId="92"/>
    <cellStyle name="Обычный 6 2 2 3" xfId="120"/>
    <cellStyle name="Обычный 6 2 2 4" xfId="102"/>
    <cellStyle name="Обычный 6 2 2 5" xfId="84"/>
    <cellStyle name="Обычный 6 2 3" xfId="116"/>
    <cellStyle name="Обычный 6 2 4" xfId="98"/>
    <cellStyle name="Обычный 6 2 5" xfId="80"/>
    <cellStyle name="Обычный 6 2 6" xfId="143"/>
    <cellStyle name="Обычный 6 2 7" xfId="144"/>
    <cellStyle name="Обычный 6 2 8" xfId="145"/>
    <cellStyle name="Обычный 6 2 9" xfId="146"/>
    <cellStyle name="Обычный 6 3" xfId="65"/>
    <cellStyle name="Обычный 6 3 2" xfId="122"/>
    <cellStyle name="Обычный 6 3 3" xfId="104"/>
    <cellStyle name="Обычный 6 3 4" xfId="86"/>
    <cellStyle name="Обычный 6 4" xfId="113"/>
    <cellStyle name="Обычный 6 5" xfId="95"/>
    <cellStyle name="Обычный 6 6" xfId="77"/>
    <cellStyle name="Обычный 7" xfId="53"/>
    <cellStyle name="Обычный 7 2" xfId="66"/>
    <cellStyle name="Обычный 8" xfId="67"/>
    <cellStyle name="Обычный 8 2" xfId="123"/>
    <cellStyle name="Обычный 8 3" xfId="105"/>
    <cellStyle name="Обычный 8 4" xfId="87"/>
    <cellStyle name="Обычный 9" xfId="14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 2" xfId="68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69"/>
    <cellStyle name="Финансовый 2 2 2" xfId="124"/>
    <cellStyle name="Финансовый 2 2 2 2 2" xfId="50"/>
    <cellStyle name="Финансовый 2 2 3" xfId="106"/>
    <cellStyle name="Финансовый 2 2 4" xfId="88"/>
    <cellStyle name="Финансовый 2 3" xfId="114"/>
    <cellStyle name="Финансовый 2 4" xfId="96"/>
    <cellStyle name="Финансовый 2 5" xfId="78"/>
    <cellStyle name="Финансовый 3" xfId="51"/>
    <cellStyle name="Финансовый 3 2" xfId="70"/>
    <cellStyle name="Финансовый 3 2 2" xfId="125"/>
    <cellStyle name="Финансовый 3 2 3" xfId="107"/>
    <cellStyle name="Финансовый 3 2 4" xfId="89"/>
    <cellStyle name="Финансовый 3 3" xfId="115"/>
    <cellStyle name="Финансовый 3 4" xfId="97"/>
    <cellStyle name="Финансовый 3 5" xfId="79"/>
    <cellStyle name="Финансовый 4" xfId="71"/>
    <cellStyle name="Финансовый 4 2" xfId="126"/>
    <cellStyle name="Финансовый 4 3" xfId="108"/>
    <cellStyle name="Финансовый 4 4" xfId="90"/>
    <cellStyle name="Финансовый 5" xfId="148"/>
    <cellStyle name="Финансовый 6" xfId="76"/>
    <cellStyle name="Финансовый 6 2" xfId="130"/>
    <cellStyle name="Финансовый 6 2 2" xfId="132"/>
    <cellStyle name="Финансовый 6 3" xfId="112"/>
    <cellStyle name="Финансовый 6 4" xfId="94"/>
    <cellStyle name="Хороший" xfId="43" builtinId="26" customBuiltin="1"/>
    <cellStyle name="㼿㼿" xfId="149"/>
    <cellStyle name="㼿㼿?" xfId="150"/>
    <cellStyle name="㼿㼿_Укрупненный расчет  Варнав._3" xfId="151"/>
    <cellStyle name="㼿㼿㼿" xfId="152"/>
    <cellStyle name="㼿㼿㼿?" xfId="153"/>
    <cellStyle name="㼿㼿㼿_Укрупненный расчет  Варнав._6" xfId="154"/>
    <cellStyle name="㼿㼿㼿㼿" xfId="155"/>
    <cellStyle name="㼿㼿㼿㼿?" xfId="156"/>
    <cellStyle name="㼿㼿㼿㼿_Укрупненный расчет  Варнав._5" xfId="157"/>
    <cellStyle name="㼿㼿㼿㼿㼿" xfId="158"/>
    <cellStyle name="㼿㼿㼿㼿㼿?" xfId="159"/>
    <cellStyle name="㼿㼿㼿㼿㼿_Укрупненный расчет  Варнав." xfId="160"/>
    <cellStyle name="㼿㼿㼿㼿㼿㼿?" xfId="161"/>
    <cellStyle name="㼿㼿㼿㼿㼿㼿㼿㼿" xfId="162"/>
    <cellStyle name="㼿㼿㼿㼿㼿㼿㼿㼿㼿" xfId="163"/>
    <cellStyle name="㼿㼿㼿㼿㼿㼿㼿㼿㼿㼿" xfId="1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  <pageSetUpPr fitToPage="1"/>
  </sheetPr>
  <dimension ref="A1:R72"/>
  <sheetViews>
    <sheetView zoomScale="85" zoomScaleNormal="85" zoomScaleSheetLayoutView="70" workbookViewId="0">
      <selection activeCell="I15" sqref="I15"/>
    </sheetView>
  </sheetViews>
  <sheetFormatPr defaultRowHeight="15.75"/>
  <cols>
    <col min="1" max="1" width="5.375" style="23" customWidth="1"/>
    <col min="2" max="2" width="56.25" style="81" customWidth="1"/>
    <col min="3" max="3" width="12.25" style="26" customWidth="1"/>
    <col min="4" max="4" width="31.75" style="81" customWidth="1"/>
    <col min="5" max="5" width="11.375" style="26" customWidth="1"/>
    <col min="6" max="6" width="17.5" style="26" customWidth="1"/>
    <col min="7" max="7" width="10.25" style="27" customWidth="1"/>
    <col min="8" max="8" width="13.125" style="27" customWidth="1"/>
    <col min="9" max="9" width="11.375" style="28" customWidth="1"/>
    <col min="10" max="10" width="17.875" style="28" customWidth="1"/>
    <col min="11" max="11" width="12.375" style="30" hidden="1" customWidth="1"/>
    <col min="12" max="12" width="35.5" style="30" hidden="1" customWidth="1"/>
    <col min="13" max="13" width="13.5" style="30" hidden="1" customWidth="1"/>
    <col min="14" max="14" width="10.875" style="30" hidden="1" customWidth="1"/>
    <col min="15" max="15" width="13.875" style="30" hidden="1" customWidth="1"/>
    <col min="16" max="16" width="16.75" style="31" hidden="1" customWidth="1"/>
    <col min="17" max="17" width="14.5" style="31" hidden="1" customWidth="1"/>
    <col min="18" max="18" width="15.125" style="30" hidden="1" customWidth="1"/>
    <col min="19" max="16384" width="9" style="30"/>
  </cols>
  <sheetData>
    <row r="1" spans="1:18" ht="15.75" customHeight="1">
      <c r="B1" s="24"/>
      <c r="C1" s="25"/>
      <c r="D1" s="26"/>
      <c r="K1" s="29"/>
      <c r="L1" s="29"/>
    </row>
    <row r="2" spans="1:18" ht="15.75" customHeight="1">
      <c r="A2" s="106" t="s">
        <v>42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18" ht="15.75" customHeight="1">
      <c r="A3" s="110" t="s">
        <v>0</v>
      </c>
      <c r="B3" s="109" t="s">
        <v>1</v>
      </c>
      <c r="C3" s="99" t="s">
        <v>7</v>
      </c>
      <c r="D3" s="100"/>
      <c r="E3" s="100"/>
      <c r="F3" s="100"/>
      <c r="G3" s="100"/>
      <c r="H3" s="100"/>
      <c r="I3" s="100"/>
      <c r="J3" s="101"/>
      <c r="K3" s="107" t="s">
        <v>8</v>
      </c>
      <c r="L3" s="107"/>
      <c r="M3" s="107"/>
      <c r="N3" s="107"/>
      <c r="O3" s="107"/>
      <c r="P3" s="107"/>
      <c r="Q3" s="107"/>
      <c r="R3" s="107"/>
    </row>
    <row r="4" spans="1:18" ht="69" customHeight="1">
      <c r="A4" s="110"/>
      <c r="B4" s="109"/>
      <c r="C4" s="102" t="s">
        <v>131</v>
      </c>
      <c r="D4" s="103"/>
      <c r="E4" s="103"/>
      <c r="F4" s="103"/>
      <c r="G4" s="103"/>
      <c r="H4" s="103"/>
      <c r="I4" s="103"/>
      <c r="J4" s="104"/>
      <c r="K4" s="108" t="s">
        <v>122</v>
      </c>
      <c r="L4" s="103"/>
      <c r="M4" s="103"/>
      <c r="N4" s="103"/>
      <c r="O4" s="103"/>
      <c r="P4" s="103"/>
      <c r="Q4" s="103"/>
      <c r="R4" s="104"/>
    </row>
    <row r="5" spans="1:18" ht="33.75" customHeight="1">
      <c r="A5" s="110"/>
      <c r="B5" s="109"/>
      <c r="C5" s="109" t="s">
        <v>4</v>
      </c>
      <c r="D5" s="109"/>
      <c r="E5" s="109"/>
      <c r="F5" s="109"/>
      <c r="G5" s="102" t="s">
        <v>18</v>
      </c>
      <c r="H5" s="103"/>
      <c r="I5" s="103"/>
      <c r="J5" s="104"/>
      <c r="K5" s="109" t="s">
        <v>4</v>
      </c>
      <c r="L5" s="109"/>
      <c r="M5" s="109"/>
      <c r="N5" s="109"/>
      <c r="O5" s="109" t="s">
        <v>18</v>
      </c>
      <c r="P5" s="109"/>
      <c r="Q5" s="109"/>
      <c r="R5" s="109"/>
    </row>
    <row r="6" spans="1:18" s="25" customFormat="1" ht="87.75" customHeight="1">
      <c r="A6" s="110"/>
      <c r="B6" s="109"/>
      <c r="C6" s="32" t="s">
        <v>6</v>
      </c>
      <c r="D6" s="32" t="s">
        <v>2</v>
      </c>
      <c r="E6" s="32" t="s">
        <v>16</v>
      </c>
      <c r="F6" s="32" t="s">
        <v>3</v>
      </c>
      <c r="G6" s="32" t="s">
        <v>5</v>
      </c>
      <c r="H6" s="32" t="s">
        <v>9</v>
      </c>
      <c r="I6" s="34" t="s">
        <v>128</v>
      </c>
      <c r="J6" s="35" t="s">
        <v>10</v>
      </c>
      <c r="K6" s="32" t="s">
        <v>6</v>
      </c>
      <c r="L6" s="32" t="s">
        <v>2</v>
      </c>
      <c r="M6" s="32" t="s">
        <v>16</v>
      </c>
      <c r="N6" s="32" t="s">
        <v>3</v>
      </c>
      <c r="O6" s="32" t="s">
        <v>5</v>
      </c>
      <c r="P6" s="33" t="s">
        <v>11</v>
      </c>
      <c r="Q6" s="34" t="s">
        <v>43</v>
      </c>
      <c r="R6" s="35" t="s">
        <v>10</v>
      </c>
    </row>
    <row r="7" spans="1:18" s="29" customFormat="1">
      <c r="A7" s="36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5">
        <v>9</v>
      </c>
      <c r="J7" s="35"/>
      <c r="K7" s="32">
        <v>10</v>
      </c>
      <c r="L7" s="35">
        <v>11</v>
      </c>
      <c r="M7" s="32">
        <v>12</v>
      </c>
      <c r="N7" s="35">
        <v>13</v>
      </c>
      <c r="O7" s="32">
        <v>14</v>
      </c>
      <c r="P7" s="35">
        <v>15</v>
      </c>
      <c r="Q7" s="32">
        <v>16</v>
      </c>
      <c r="R7" s="35">
        <v>17</v>
      </c>
    </row>
    <row r="8" spans="1:18" s="29" customFormat="1" ht="33.75" customHeight="1">
      <c r="A8" s="37" t="s">
        <v>44</v>
      </c>
      <c r="B8" s="38" t="s">
        <v>45</v>
      </c>
      <c r="C8" s="39" t="s">
        <v>17</v>
      </c>
      <c r="D8" s="39" t="s">
        <v>17</v>
      </c>
      <c r="E8" s="39" t="s">
        <v>17</v>
      </c>
      <c r="F8" s="39" t="s">
        <v>17</v>
      </c>
      <c r="G8" s="39" t="s">
        <v>17</v>
      </c>
      <c r="H8" s="39" t="s">
        <v>17</v>
      </c>
      <c r="I8" s="40" t="s">
        <v>17</v>
      </c>
      <c r="J8" s="40"/>
      <c r="K8" s="32" t="s">
        <v>17</v>
      </c>
      <c r="L8" s="35" t="s">
        <v>17</v>
      </c>
      <c r="M8" s="32" t="s">
        <v>17</v>
      </c>
      <c r="N8" s="35" t="s">
        <v>17</v>
      </c>
      <c r="O8" s="32" t="s">
        <v>17</v>
      </c>
      <c r="P8" s="33" t="s">
        <v>17</v>
      </c>
      <c r="Q8" s="42" t="s">
        <v>17</v>
      </c>
      <c r="R8" s="32" t="s">
        <v>17</v>
      </c>
    </row>
    <row r="9" spans="1:18" s="48" customFormat="1" ht="48" hidden="1" customHeight="1">
      <c r="A9" s="43" t="s">
        <v>46</v>
      </c>
      <c r="B9" s="44" t="s">
        <v>47</v>
      </c>
      <c r="C9" s="86" t="s">
        <v>17</v>
      </c>
      <c r="D9" s="86" t="s">
        <v>17</v>
      </c>
      <c r="E9" s="86" t="s">
        <v>17</v>
      </c>
      <c r="F9" s="86" t="s">
        <v>17</v>
      </c>
      <c r="G9" s="86" t="s">
        <v>17</v>
      </c>
      <c r="H9" s="86" t="s">
        <v>17</v>
      </c>
      <c r="I9" s="86" t="s">
        <v>17</v>
      </c>
      <c r="J9" s="86"/>
      <c r="K9" s="66">
        <v>20</v>
      </c>
      <c r="L9" s="46" t="str">
        <f>B9</f>
        <v>1 КЛ  20 кВ  (сечение провода 500 мм2)</v>
      </c>
      <c r="M9" s="66"/>
      <c r="N9" s="46" t="s">
        <v>30</v>
      </c>
      <c r="O9" s="46" t="s">
        <v>48</v>
      </c>
      <c r="P9" s="67">
        <v>6951.82</v>
      </c>
      <c r="Q9" s="67"/>
      <c r="R9" s="67">
        <f>P9*M9</f>
        <v>0</v>
      </c>
    </row>
    <row r="10" spans="1:18" s="48" customFormat="1" ht="51.75" hidden="1" customHeight="1">
      <c r="A10" s="43" t="s">
        <v>49</v>
      </c>
      <c r="B10" s="44" t="s">
        <v>50</v>
      </c>
      <c r="C10" s="86" t="s">
        <v>17</v>
      </c>
      <c r="D10" s="86" t="s">
        <v>17</v>
      </c>
      <c r="E10" s="86" t="s">
        <v>17</v>
      </c>
      <c r="F10" s="86" t="s">
        <v>17</v>
      </c>
      <c r="G10" s="86" t="s">
        <v>17</v>
      </c>
      <c r="H10" s="86" t="s">
        <v>17</v>
      </c>
      <c r="I10" s="86" t="s">
        <v>17</v>
      </c>
      <c r="J10" s="86"/>
      <c r="K10" s="66">
        <v>20</v>
      </c>
      <c r="L10" s="46" t="str">
        <f t="shared" ref="L10:L21" si="0">B10</f>
        <v>1КЛ  20 кВ  (сечение провода 500 мм2)</v>
      </c>
      <c r="M10" s="66"/>
      <c r="N10" s="46" t="s">
        <v>30</v>
      </c>
      <c r="O10" s="46" t="s">
        <v>48</v>
      </c>
      <c r="P10" s="67">
        <v>6951.82</v>
      </c>
      <c r="Q10" s="67"/>
      <c r="R10" s="67">
        <f t="shared" ref="R10:R12" si="1">P10*M10</f>
        <v>0</v>
      </c>
    </row>
    <row r="11" spans="1:18" s="48" customFormat="1" ht="50.25" hidden="1" customHeight="1">
      <c r="A11" s="43" t="s">
        <v>51</v>
      </c>
      <c r="B11" s="44" t="s">
        <v>47</v>
      </c>
      <c r="C11" s="86" t="s">
        <v>17</v>
      </c>
      <c r="D11" s="86" t="s">
        <v>17</v>
      </c>
      <c r="E11" s="86" t="s">
        <v>17</v>
      </c>
      <c r="F11" s="86" t="s">
        <v>17</v>
      </c>
      <c r="G11" s="86" t="s">
        <v>17</v>
      </c>
      <c r="H11" s="86" t="s">
        <v>17</v>
      </c>
      <c r="I11" s="86" t="s">
        <v>17</v>
      </c>
      <c r="J11" s="86"/>
      <c r="K11" s="66">
        <v>20</v>
      </c>
      <c r="L11" s="46" t="str">
        <f t="shared" si="0"/>
        <v>1 КЛ  20 кВ  (сечение провода 500 мм2)</v>
      </c>
      <c r="M11" s="66"/>
      <c r="N11" s="46" t="s">
        <v>30</v>
      </c>
      <c r="O11" s="46" t="s">
        <v>48</v>
      </c>
      <c r="P11" s="67">
        <v>6951.82</v>
      </c>
      <c r="Q11" s="67"/>
      <c r="R11" s="67">
        <f t="shared" si="1"/>
        <v>0</v>
      </c>
    </row>
    <row r="12" spans="1:18" s="48" customFormat="1" ht="55.5" hidden="1" customHeight="1">
      <c r="A12" s="43" t="s">
        <v>52</v>
      </c>
      <c r="B12" s="44" t="s">
        <v>47</v>
      </c>
      <c r="C12" s="86" t="s">
        <v>17</v>
      </c>
      <c r="D12" s="86" t="s">
        <v>17</v>
      </c>
      <c r="E12" s="86" t="s">
        <v>17</v>
      </c>
      <c r="F12" s="86" t="s">
        <v>17</v>
      </c>
      <c r="G12" s="86" t="s">
        <v>17</v>
      </c>
      <c r="H12" s="86" t="s">
        <v>17</v>
      </c>
      <c r="I12" s="86" t="s">
        <v>17</v>
      </c>
      <c r="J12" s="86"/>
      <c r="K12" s="66">
        <v>20</v>
      </c>
      <c r="L12" s="46" t="str">
        <f t="shared" si="0"/>
        <v>1 КЛ  20 кВ  (сечение провода 500 мм2)</v>
      </c>
      <c r="M12" s="66"/>
      <c r="N12" s="46" t="s">
        <v>30</v>
      </c>
      <c r="O12" s="46" t="s">
        <v>48</v>
      </c>
      <c r="P12" s="67">
        <v>6951.82</v>
      </c>
      <c r="Q12" s="67"/>
      <c r="R12" s="67">
        <f t="shared" si="1"/>
        <v>0</v>
      </c>
    </row>
    <row r="13" spans="1:18" s="48" customFormat="1" ht="34.5" hidden="1" customHeight="1">
      <c r="A13" s="43" t="s">
        <v>46</v>
      </c>
      <c r="B13" s="44" t="s">
        <v>53</v>
      </c>
      <c r="C13" s="86" t="s">
        <v>17</v>
      </c>
      <c r="D13" s="86" t="s">
        <v>17</v>
      </c>
      <c r="E13" s="86" t="s">
        <v>17</v>
      </c>
      <c r="F13" s="86" t="s">
        <v>17</v>
      </c>
      <c r="G13" s="86" t="s">
        <v>17</v>
      </c>
      <c r="H13" s="86" t="s">
        <v>17</v>
      </c>
      <c r="I13" s="86" t="s">
        <v>17</v>
      </c>
      <c r="J13" s="86"/>
      <c r="K13" s="66">
        <v>10</v>
      </c>
      <c r="L13" s="46" t="str">
        <f t="shared" si="0"/>
        <v>2КЛ (АПвПуг 3(1х500/70) 10 кВ</v>
      </c>
      <c r="M13" s="66">
        <v>0</v>
      </c>
      <c r="N13" s="46" t="s">
        <v>30</v>
      </c>
      <c r="O13" s="46" t="s">
        <v>48</v>
      </c>
      <c r="P13" s="67">
        <v>6445.39</v>
      </c>
      <c r="Q13" s="68">
        <v>2</v>
      </c>
      <c r="R13" s="67">
        <f>M13*P13*Q13</f>
        <v>0</v>
      </c>
    </row>
    <row r="14" spans="1:18" s="48" customFormat="1" ht="34.5" hidden="1" customHeight="1">
      <c r="A14" s="43" t="s">
        <v>54</v>
      </c>
      <c r="B14" s="44" t="s">
        <v>55</v>
      </c>
      <c r="C14" s="87" t="s">
        <v>17</v>
      </c>
      <c r="D14" s="87" t="s">
        <v>17</v>
      </c>
      <c r="E14" s="87" t="s">
        <v>17</v>
      </c>
      <c r="F14" s="87" t="s">
        <v>17</v>
      </c>
      <c r="G14" s="87" t="s">
        <v>17</v>
      </c>
      <c r="H14" s="87" t="s">
        <v>17</v>
      </c>
      <c r="I14" s="87" t="s">
        <v>17</v>
      </c>
      <c r="J14" s="87"/>
      <c r="K14" s="66">
        <v>10</v>
      </c>
      <c r="L14" s="46" t="str">
        <f t="shared" si="0"/>
        <v>4КЛ (АПвПуг 3(1х500/70) 10 кВ</v>
      </c>
      <c r="M14" s="66">
        <v>0</v>
      </c>
      <c r="N14" s="46" t="s">
        <v>30</v>
      </c>
      <c r="O14" s="46" t="s">
        <v>48</v>
      </c>
      <c r="P14" s="67">
        <v>6445.39</v>
      </c>
      <c r="Q14" s="68">
        <v>1</v>
      </c>
      <c r="R14" s="67">
        <f t="shared" ref="R14:R21" si="2">P14*M14</f>
        <v>0</v>
      </c>
    </row>
    <row r="15" spans="1:18" s="50" customFormat="1" ht="39" customHeight="1">
      <c r="A15" s="43" t="s">
        <v>46</v>
      </c>
      <c r="B15" s="44" t="s">
        <v>127</v>
      </c>
      <c r="C15" s="45">
        <v>10</v>
      </c>
      <c r="D15" s="46" t="str">
        <f>B15</f>
        <v>1КЛ (АПвПуг 3(1х240/50) 10 кВ</v>
      </c>
      <c r="E15" s="45">
        <v>0.09</v>
      </c>
      <c r="F15" s="46" t="s">
        <v>30</v>
      </c>
      <c r="G15" s="46" t="s">
        <v>56</v>
      </c>
      <c r="H15" s="47">
        <v>4928</v>
      </c>
      <c r="I15" s="47">
        <f>1.34*1.25</f>
        <v>1.675</v>
      </c>
      <c r="J15" s="47">
        <f>H15*E15*I15</f>
        <v>742.89599999999996</v>
      </c>
      <c r="K15" s="66">
        <v>10</v>
      </c>
      <c r="L15" s="46" t="str">
        <f t="shared" si="0"/>
        <v>1КЛ (АПвПуг 3(1х240/50) 10 кВ</v>
      </c>
      <c r="M15" s="66">
        <v>0</v>
      </c>
      <c r="N15" s="46" t="s">
        <v>30</v>
      </c>
      <c r="O15" s="46" t="s">
        <v>56</v>
      </c>
      <c r="P15" s="67">
        <v>4928</v>
      </c>
      <c r="Q15" s="68">
        <v>2</v>
      </c>
      <c r="R15" s="67">
        <f>P15*M15*Q15</f>
        <v>0</v>
      </c>
    </row>
    <row r="16" spans="1:18" s="50" customFormat="1" ht="39" hidden="1" customHeight="1">
      <c r="A16" s="43" t="s">
        <v>52</v>
      </c>
      <c r="B16" s="44" t="s">
        <v>57</v>
      </c>
      <c r="C16" s="45">
        <v>10</v>
      </c>
      <c r="D16" s="46" t="e">
        <f t="shared" ref="D16" si="3">#REF!</f>
        <v>#REF!</v>
      </c>
      <c r="E16" s="45"/>
      <c r="F16" s="46" t="s">
        <v>30</v>
      </c>
      <c r="G16" s="46" t="s">
        <v>56</v>
      </c>
      <c r="H16" s="47">
        <v>4928</v>
      </c>
      <c r="I16" s="49">
        <v>1</v>
      </c>
      <c r="J16" s="47" t="e">
        <f t="shared" ref="J16:J21" si="4">G16*D16</f>
        <v>#VALUE!</v>
      </c>
      <c r="K16" s="66">
        <v>10</v>
      </c>
      <c r="L16" s="46" t="str">
        <f t="shared" si="0"/>
        <v xml:space="preserve">1КЛ(240 мм) 10 кВ </v>
      </c>
      <c r="M16" s="66"/>
      <c r="N16" s="46" t="s">
        <v>30</v>
      </c>
      <c r="O16" s="46" t="s">
        <v>56</v>
      </c>
      <c r="P16" s="67">
        <v>4928</v>
      </c>
      <c r="Q16" s="68">
        <v>1</v>
      </c>
      <c r="R16" s="67">
        <f t="shared" si="2"/>
        <v>0</v>
      </c>
    </row>
    <row r="17" spans="1:18" s="50" customFormat="1" ht="34.5" hidden="1" customHeight="1">
      <c r="A17" s="43" t="s">
        <v>58</v>
      </c>
      <c r="B17" s="44" t="s">
        <v>59</v>
      </c>
      <c r="C17" s="45">
        <v>0.4</v>
      </c>
      <c r="D17" s="46" t="e">
        <f t="shared" ref="D17" si="5">#REF!</f>
        <v>#REF!</v>
      </c>
      <c r="E17" s="45"/>
      <c r="F17" s="46" t="s">
        <v>30</v>
      </c>
      <c r="G17" s="46" t="s">
        <v>60</v>
      </c>
      <c r="H17" s="51">
        <v>1802.74</v>
      </c>
      <c r="I17" s="52"/>
      <c r="J17" s="47" t="e">
        <f t="shared" si="4"/>
        <v>#VALUE!</v>
      </c>
      <c r="K17" s="66">
        <v>0.4</v>
      </c>
      <c r="L17" s="46" t="str">
        <f t="shared" si="0"/>
        <v xml:space="preserve">24 КЛ  0,4 кВ </v>
      </c>
      <c r="M17" s="66"/>
      <c r="N17" s="46" t="s">
        <v>30</v>
      </c>
      <c r="O17" s="46" t="s">
        <v>60</v>
      </c>
      <c r="P17" s="51">
        <v>1802.74</v>
      </c>
      <c r="Q17" s="52"/>
      <c r="R17" s="67">
        <f t="shared" si="2"/>
        <v>0</v>
      </c>
    </row>
    <row r="18" spans="1:18" s="50" customFormat="1" ht="34.5" hidden="1" customHeight="1">
      <c r="A18" s="43" t="s">
        <v>61</v>
      </c>
      <c r="B18" s="44" t="s">
        <v>62</v>
      </c>
      <c r="C18" s="45">
        <v>0.4</v>
      </c>
      <c r="D18" s="46" t="e">
        <f t="shared" ref="D18" si="6">#REF!</f>
        <v>#REF!</v>
      </c>
      <c r="E18" s="45"/>
      <c r="F18" s="46" t="s">
        <v>30</v>
      </c>
      <c r="G18" s="46" t="s">
        <v>60</v>
      </c>
      <c r="H18" s="51">
        <v>1802.74</v>
      </c>
      <c r="I18" s="52"/>
      <c r="J18" s="47" t="e">
        <f t="shared" si="4"/>
        <v>#VALUE!</v>
      </c>
      <c r="K18" s="66">
        <v>0.4</v>
      </c>
      <c r="L18" s="46" t="str">
        <f t="shared" si="0"/>
        <v xml:space="preserve">20 КЛ  0,4 кВ </v>
      </c>
      <c r="M18" s="66"/>
      <c r="N18" s="46" t="s">
        <v>30</v>
      </c>
      <c r="O18" s="46" t="s">
        <v>60</v>
      </c>
      <c r="P18" s="51">
        <v>1802.74</v>
      </c>
      <c r="Q18" s="52"/>
      <c r="R18" s="67">
        <f t="shared" si="2"/>
        <v>0</v>
      </c>
    </row>
    <row r="19" spans="1:18" s="50" customFormat="1" ht="34.5" hidden="1" customHeight="1">
      <c r="A19" s="43" t="s">
        <v>63</v>
      </c>
      <c r="B19" s="44" t="s">
        <v>62</v>
      </c>
      <c r="C19" s="45">
        <v>0.4</v>
      </c>
      <c r="D19" s="46" t="e">
        <f t="shared" ref="D19" si="7">#REF!</f>
        <v>#REF!</v>
      </c>
      <c r="E19" s="45"/>
      <c r="F19" s="46" t="s">
        <v>30</v>
      </c>
      <c r="G19" s="46" t="s">
        <v>60</v>
      </c>
      <c r="H19" s="51">
        <v>1802.74</v>
      </c>
      <c r="I19" s="52"/>
      <c r="J19" s="47" t="e">
        <f t="shared" si="4"/>
        <v>#VALUE!</v>
      </c>
      <c r="K19" s="66">
        <v>0.4</v>
      </c>
      <c r="L19" s="46" t="str">
        <f t="shared" si="0"/>
        <v xml:space="preserve">20 КЛ  0,4 кВ </v>
      </c>
      <c r="M19" s="66"/>
      <c r="N19" s="46" t="s">
        <v>30</v>
      </c>
      <c r="O19" s="46" t="s">
        <v>60</v>
      </c>
      <c r="P19" s="51">
        <v>1802.74</v>
      </c>
      <c r="Q19" s="52"/>
      <c r="R19" s="67">
        <f t="shared" si="2"/>
        <v>0</v>
      </c>
    </row>
    <row r="20" spans="1:18" s="50" customFormat="1" ht="34.5" hidden="1" customHeight="1">
      <c r="A20" s="43" t="s">
        <v>64</v>
      </c>
      <c r="B20" s="44" t="s">
        <v>65</v>
      </c>
      <c r="C20" s="45">
        <v>0.4</v>
      </c>
      <c r="D20" s="46" t="e">
        <f t="shared" ref="D20" si="8">#REF!</f>
        <v>#REF!</v>
      </c>
      <c r="E20" s="45"/>
      <c r="F20" s="46" t="s">
        <v>30</v>
      </c>
      <c r="G20" s="46" t="s">
        <v>60</v>
      </c>
      <c r="H20" s="51">
        <v>1802.74</v>
      </c>
      <c r="I20" s="52"/>
      <c r="J20" s="47" t="e">
        <f t="shared" si="4"/>
        <v>#VALUE!</v>
      </c>
      <c r="K20" s="66">
        <v>0.4</v>
      </c>
      <c r="L20" s="46" t="str">
        <f t="shared" si="0"/>
        <v>12 КЛ  0,4 кВ</v>
      </c>
      <c r="M20" s="66"/>
      <c r="N20" s="46" t="s">
        <v>30</v>
      </c>
      <c r="O20" s="46" t="s">
        <v>60</v>
      </c>
      <c r="P20" s="51">
        <v>1802.74</v>
      </c>
      <c r="Q20" s="52"/>
      <c r="R20" s="67">
        <f t="shared" si="2"/>
        <v>0</v>
      </c>
    </row>
    <row r="21" spans="1:18" s="50" customFormat="1" ht="34.5" hidden="1" customHeight="1">
      <c r="A21" s="43" t="s">
        <v>66</v>
      </c>
      <c r="B21" s="44" t="s">
        <v>67</v>
      </c>
      <c r="C21" s="45">
        <v>0.4</v>
      </c>
      <c r="D21" s="46" t="e">
        <f t="shared" ref="D21" si="9">#REF!</f>
        <v>#REF!</v>
      </c>
      <c r="E21" s="45"/>
      <c r="F21" s="46" t="s">
        <v>30</v>
      </c>
      <c r="G21" s="46" t="s">
        <v>60</v>
      </c>
      <c r="H21" s="51">
        <v>1802.74</v>
      </c>
      <c r="I21" s="52"/>
      <c r="J21" s="47" t="e">
        <f t="shared" si="4"/>
        <v>#VALUE!</v>
      </c>
      <c r="K21" s="66">
        <v>0.4</v>
      </c>
      <c r="L21" s="46" t="str">
        <f t="shared" si="0"/>
        <v xml:space="preserve">8 КЛ  0,4 кВ </v>
      </c>
      <c r="M21" s="66"/>
      <c r="N21" s="46" t="s">
        <v>30</v>
      </c>
      <c r="O21" s="46" t="s">
        <v>60</v>
      </c>
      <c r="P21" s="51">
        <v>1802.74</v>
      </c>
      <c r="Q21" s="52"/>
      <c r="R21" s="67">
        <f t="shared" si="2"/>
        <v>0</v>
      </c>
    </row>
    <row r="22" spans="1:18" s="50" customFormat="1" ht="30">
      <c r="A22" s="53" t="s">
        <v>68</v>
      </c>
      <c r="B22" s="54" t="s">
        <v>69</v>
      </c>
      <c r="C22" s="39" t="s">
        <v>17</v>
      </c>
      <c r="D22" s="39" t="s">
        <v>17</v>
      </c>
      <c r="E22" s="55" t="s">
        <v>17</v>
      </c>
      <c r="F22" s="55" t="s">
        <v>17</v>
      </c>
      <c r="G22" s="39" t="s">
        <v>17</v>
      </c>
      <c r="H22" s="41" t="s">
        <v>17</v>
      </c>
      <c r="I22" s="56" t="s">
        <v>17</v>
      </c>
      <c r="J22" s="39" t="s">
        <v>17</v>
      </c>
      <c r="K22" s="32" t="s">
        <v>17</v>
      </c>
      <c r="L22" s="32" t="s">
        <v>17</v>
      </c>
      <c r="M22" s="55" t="s">
        <v>17</v>
      </c>
      <c r="N22" s="55" t="s">
        <v>17</v>
      </c>
      <c r="O22" s="32" t="s">
        <v>17</v>
      </c>
      <c r="P22" s="33" t="s">
        <v>17</v>
      </c>
      <c r="Q22" s="56" t="s">
        <v>17</v>
      </c>
      <c r="R22" s="32" t="s">
        <v>17</v>
      </c>
    </row>
    <row r="23" spans="1:18" s="50" customFormat="1" ht="29.25" hidden="1" customHeight="1">
      <c r="A23" s="43" t="s">
        <v>70</v>
      </c>
      <c r="B23" s="44" t="str">
        <f t="shared" ref="B23:B34" si="10">B9</f>
        <v>1 КЛ  20 кВ  (сечение провода 500 мм2)</v>
      </c>
      <c r="C23" s="45">
        <v>20</v>
      </c>
      <c r="D23" s="46" t="e">
        <f>#REF!</f>
        <v>#REF!</v>
      </c>
      <c r="E23" s="45" t="str">
        <f>E9</f>
        <v>нд</v>
      </c>
      <c r="F23" s="46" t="s">
        <v>30</v>
      </c>
      <c r="G23" s="46" t="s">
        <v>71</v>
      </c>
      <c r="H23" s="47">
        <v>14893.55</v>
      </c>
      <c r="I23" s="49"/>
      <c r="J23" s="47" t="e">
        <f t="shared" ref="J23:J35" si="11">D23*G23*H23</f>
        <v>#REF!</v>
      </c>
      <c r="K23" s="66">
        <v>20</v>
      </c>
      <c r="L23" s="46" t="str">
        <f>B23</f>
        <v>1 КЛ  20 кВ  (сечение провода 500 мм2)</v>
      </c>
      <c r="M23" s="66">
        <f>M9</f>
        <v>0</v>
      </c>
      <c r="N23" s="46" t="s">
        <v>30</v>
      </c>
      <c r="O23" s="46" t="s">
        <v>71</v>
      </c>
      <c r="P23" s="67">
        <v>14893.55</v>
      </c>
      <c r="Q23" s="68"/>
      <c r="R23" s="67">
        <f t="shared" ref="R23:R35" si="12">M23*P23*Q23</f>
        <v>0</v>
      </c>
    </row>
    <row r="24" spans="1:18" s="50" customFormat="1" ht="29.25" hidden="1" customHeight="1">
      <c r="A24" s="43" t="s">
        <v>72</v>
      </c>
      <c r="B24" s="44" t="str">
        <f t="shared" si="10"/>
        <v>1КЛ  20 кВ  (сечение провода 500 мм2)</v>
      </c>
      <c r="C24" s="45">
        <v>20</v>
      </c>
      <c r="D24" s="46" t="e">
        <f>#REF!</f>
        <v>#REF!</v>
      </c>
      <c r="E24" s="45" t="str">
        <f>E10</f>
        <v>нд</v>
      </c>
      <c r="F24" s="46" t="s">
        <v>30</v>
      </c>
      <c r="G24" s="46" t="s">
        <v>71</v>
      </c>
      <c r="H24" s="47">
        <v>14893.55</v>
      </c>
      <c r="I24" s="49"/>
      <c r="J24" s="47" t="e">
        <f t="shared" si="11"/>
        <v>#REF!</v>
      </c>
      <c r="K24" s="66">
        <v>20</v>
      </c>
      <c r="L24" s="46" t="str">
        <f>B24</f>
        <v>1КЛ  20 кВ  (сечение провода 500 мм2)</v>
      </c>
      <c r="M24" s="66">
        <f>M10</f>
        <v>0</v>
      </c>
      <c r="N24" s="46" t="s">
        <v>30</v>
      </c>
      <c r="O24" s="46" t="s">
        <v>71</v>
      </c>
      <c r="P24" s="67">
        <v>14893.55</v>
      </c>
      <c r="Q24" s="68"/>
      <c r="R24" s="67">
        <f t="shared" si="12"/>
        <v>0</v>
      </c>
    </row>
    <row r="25" spans="1:18" s="50" customFormat="1" ht="29.25" hidden="1" customHeight="1">
      <c r="A25" s="43" t="s">
        <v>73</v>
      </c>
      <c r="B25" s="44" t="str">
        <f t="shared" si="10"/>
        <v>1 КЛ  20 кВ  (сечение провода 500 мм2)</v>
      </c>
      <c r="C25" s="45">
        <v>20</v>
      </c>
      <c r="D25" s="46" t="e">
        <f t="shared" ref="D25" si="13">#REF!</f>
        <v>#REF!</v>
      </c>
      <c r="E25" s="45" t="str">
        <f>E11</f>
        <v>нд</v>
      </c>
      <c r="F25" s="46" t="s">
        <v>30</v>
      </c>
      <c r="G25" s="46" t="s">
        <v>71</v>
      </c>
      <c r="H25" s="47">
        <v>14893.55</v>
      </c>
      <c r="I25" s="49"/>
      <c r="J25" s="47" t="e">
        <f t="shared" si="11"/>
        <v>#REF!</v>
      </c>
      <c r="K25" s="66">
        <v>20</v>
      </c>
      <c r="L25" s="46" t="str">
        <f t="shared" ref="L25:L35" si="14">B25</f>
        <v>1 КЛ  20 кВ  (сечение провода 500 мм2)</v>
      </c>
      <c r="M25" s="66">
        <f>M11</f>
        <v>0</v>
      </c>
      <c r="N25" s="46" t="s">
        <v>30</v>
      </c>
      <c r="O25" s="46" t="s">
        <v>71</v>
      </c>
      <c r="P25" s="67">
        <v>14893.55</v>
      </c>
      <c r="Q25" s="68"/>
      <c r="R25" s="67">
        <f t="shared" si="12"/>
        <v>0</v>
      </c>
    </row>
    <row r="26" spans="1:18" s="50" customFormat="1" ht="29.25" hidden="1" customHeight="1">
      <c r="A26" s="43" t="s">
        <v>74</v>
      </c>
      <c r="B26" s="44" t="str">
        <f t="shared" si="10"/>
        <v>1 КЛ  20 кВ  (сечение провода 500 мм2)</v>
      </c>
      <c r="C26" s="45">
        <v>20</v>
      </c>
      <c r="D26" s="46" t="e">
        <f t="shared" ref="D26" si="15">#REF!</f>
        <v>#REF!</v>
      </c>
      <c r="E26" s="45" t="str">
        <f>E12</f>
        <v>нд</v>
      </c>
      <c r="F26" s="46" t="s">
        <v>30</v>
      </c>
      <c r="G26" s="46" t="s">
        <v>71</v>
      </c>
      <c r="H26" s="47">
        <v>14893.55</v>
      </c>
      <c r="I26" s="49"/>
      <c r="J26" s="47" t="e">
        <f t="shared" si="11"/>
        <v>#REF!</v>
      </c>
      <c r="K26" s="66">
        <v>20</v>
      </c>
      <c r="L26" s="46" t="str">
        <f t="shared" si="14"/>
        <v>1 КЛ  20 кВ  (сечение провода 500 мм2)</v>
      </c>
      <c r="M26" s="66">
        <f>M12</f>
        <v>0</v>
      </c>
      <c r="N26" s="46" t="s">
        <v>30</v>
      </c>
      <c r="O26" s="46" t="s">
        <v>71</v>
      </c>
      <c r="P26" s="67">
        <v>14893.55</v>
      </c>
      <c r="Q26" s="68"/>
      <c r="R26" s="67">
        <f t="shared" si="12"/>
        <v>0</v>
      </c>
    </row>
    <row r="27" spans="1:18" s="50" customFormat="1" ht="36" customHeight="1">
      <c r="A27" s="43" t="s">
        <v>70</v>
      </c>
      <c r="B27" s="44" t="str">
        <f>B15</f>
        <v>1КЛ (АПвПуг 3(1х240/50) 10 кВ</v>
      </c>
      <c r="C27" s="45">
        <v>10</v>
      </c>
      <c r="D27" s="46" t="str">
        <f>B27</f>
        <v>1КЛ (АПвПуг 3(1х240/50) 10 кВ</v>
      </c>
      <c r="E27" s="45">
        <v>0.09</v>
      </c>
      <c r="F27" s="46" t="s">
        <v>30</v>
      </c>
      <c r="G27" s="46" t="s">
        <v>75</v>
      </c>
      <c r="H27" s="47">
        <v>7606.64</v>
      </c>
      <c r="I27" s="49">
        <v>1</v>
      </c>
      <c r="J27" s="47">
        <f>H27*E27*I27</f>
        <v>684.59760000000006</v>
      </c>
      <c r="K27" s="66">
        <v>10</v>
      </c>
      <c r="L27" s="46" t="str">
        <f t="shared" si="14"/>
        <v>1КЛ (АПвПуг 3(1х240/50) 10 кВ</v>
      </c>
      <c r="M27" s="66">
        <v>0</v>
      </c>
      <c r="N27" s="46" t="s">
        <v>30</v>
      </c>
      <c r="O27" s="46" t="s">
        <v>75</v>
      </c>
      <c r="P27" s="67">
        <v>8339.6</v>
      </c>
      <c r="Q27" s="68">
        <v>1</v>
      </c>
      <c r="R27" s="67">
        <f t="shared" si="12"/>
        <v>0</v>
      </c>
    </row>
    <row r="28" spans="1:18" s="50" customFormat="1" ht="36" hidden="1" customHeight="1">
      <c r="A28" s="43" t="s">
        <v>72</v>
      </c>
      <c r="B28" s="44" t="str">
        <f t="shared" si="10"/>
        <v>4КЛ (АПвПуг 3(1х500/70) 10 кВ</v>
      </c>
      <c r="C28" s="45">
        <v>10</v>
      </c>
      <c r="D28" s="46" t="e">
        <f t="shared" ref="D28" si="16">#REF!</f>
        <v>#REF!</v>
      </c>
      <c r="E28" s="45">
        <v>0</v>
      </c>
      <c r="F28" s="46" t="s">
        <v>30</v>
      </c>
      <c r="G28" s="46" t="s">
        <v>75</v>
      </c>
      <c r="H28" s="47">
        <v>8339.6</v>
      </c>
      <c r="I28" s="49">
        <v>2</v>
      </c>
      <c r="J28" s="47" t="e">
        <f t="shared" si="11"/>
        <v>#REF!</v>
      </c>
      <c r="K28" s="66">
        <v>10</v>
      </c>
      <c r="L28" s="46" t="str">
        <f t="shared" si="14"/>
        <v>4КЛ (АПвПуг 3(1х500/70) 10 кВ</v>
      </c>
      <c r="M28" s="66">
        <v>0</v>
      </c>
      <c r="N28" s="46" t="s">
        <v>30</v>
      </c>
      <c r="O28" s="46" t="s">
        <v>75</v>
      </c>
      <c r="P28" s="67">
        <v>8339.6</v>
      </c>
      <c r="Q28" s="68">
        <v>2</v>
      </c>
      <c r="R28" s="67">
        <f t="shared" si="12"/>
        <v>0</v>
      </c>
    </row>
    <row r="29" spans="1:18" s="50" customFormat="1" ht="33.75" hidden="1" customHeight="1">
      <c r="A29" s="43" t="s">
        <v>73</v>
      </c>
      <c r="B29" s="44" t="str">
        <f t="shared" si="10"/>
        <v>1КЛ (АПвПуг 3(1х240/50) 10 кВ</v>
      </c>
      <c r="C29" s="45">
        <v>10</v>
      </c>
      <c r="D29" s="46" t="e">
        <f t="shared" ref="D29" si="17">#REF!</f>
        <v>#REF!</v>
      </c>
      <c r="E29" s="45">
        <v>0</v>
      </c>
      <c r="F29" s="46" t="s">
        <v>30</v>
      </c>
      <c r="G29" s="46" t="s">
        <v>75</v>
      </c>
      <c r="H29" s="47">
        <v>8339.6</v>
      </c>
      <c r="I29" s="49">
        <v>1</v>
      </c>
      <c r="J29" s="47" t="e">
        <f t="shared" si="11"/>
        <v>#REF!</v>
      </c>
      <c r="K29" s="66">
        <v>10</v>
      </c>
      <c r="L29" s="46" t="str">
        <f t="shared" si="14"/>
        <v>1КЛ (АПвПуг 3(1х240/50) 10 кВ</v>
      </c>
      <c r="M29" s="66">
        <v>0</v>
      </c>
      <c r="N29" s="46" t="s">
        <v>30</v>
      </c>
      <c r="O29" s="46" t="s">
        <v>75</v>
      </c>
      <c r="P29" s="67">
        <v>8339.6</v>
      </c>
      <c r="Q29" s="68">
        <v>1</v>
      </c>
      <c r="R29" s="67">
        <f t="shared" si="12"/>
        <v>0</v>
      </c>
    </row>
    <row r="30" spans="1:18" s="50" customFormat="1" ht="33.75" hidden="1" customHeight="1">
      <c r="A30" s="43" t="s">
        <v>74</v>
      </c>
      <c r="B30" s="44" t="str">
        <f t="shared" si="10"/>
        <v xml:space="preserve">1КЛ(240 мм) 10 кВ </v>
      </c>
      <c r="C30" s="45">
        <v>10</v>
      </c>
      <c r="D30" s="46" t="e">
        <f t="shared" ref="D30" si="18">#REF!</f>
        <v>#REF!</v>
      </c>
      <c r="E30" s="45"/>
      <c r="F30" s="46" t="s">
        <v>30</v>
      </c>
      <c r="G30" s="46" t="s">
        <v>76</v>
      </c>
      <c r="H30" s="47">
        <v>4525.2299999999996</v>
      </c>
      <c r="I30" s="49">
        <v>1</v>
      </c>
      <c r="J30" s="47" t="e">
        <f t="shared" si="11"/>
        <v>#REF!</v>
      </c>
      <c r="K30" s="66">
        <v>10</v>
      </c>
      <c r="L30" s="46" t="str">
        <f t="shared" si="14"/>
        <v xml:space="preserve">1КЛ(240 мм) 10 кВ </v>
      </c>
      <c r="M30" s="66"/>
      <c r="N30" s="46" t="s">
        <v>30</v>
      </c>
      <c r="O30" s="46" t="s">
        <v>76</v>
      </c>
      <c r="P30" s="67">
        <v>4525.2299999999996</v>
      </c>
      <c r="Q30" s="68">
        <v>1</v>
      </c>
      <c r="R30" s="67">
        <f t="shared" si="12"/>
        <v>0</v>
      </c>
    </row>
    <row r="31" spans="1:18" s="50" customFormat="1" ht="33.75" hidden="1" customHeight="1">
      <c r="A31" s="43" t="s">
        <v>77</v>
      </c>
      <c r="B31" s="44" t="str">
        <f t="shared" si="10"/>
        <v xml:space="preserve">24 КЛ  0,4 кВ </v>
      </c>
      <c r="C31" s="45">
        <v>0.4</v>
      </c>
      <c r="D31" s="46" t="e">
        <f t="shared" ref="D31" si="19">#REF!</f>
        <v>#REF!</v>
      </c>
      <c r="E31" s="45"/>
      <c r="F31" s="46" t="s">
        <v>30</v>
      </c>
      <c r="G31" s="46" t="s">
        <v>78</v>
      </c>
      <c r="H31" s="47">
        <v>3355.08</v>
      </c>
      <c r="I31" s="49"/>
      <c r="J31" s="47" t="e">
        <f t="shared" si="11"/>
        <v>#REF!</v>
      </c>
      <c r="K31" s="66">
        <v>0.4</v>
      </c>
      <c r="L31" s="46" t="str">
        <f t="shared" si="14"/>
        <v xml:space="preserve">24 КЛ  0,4 кВ </v>
      </c>
      <c r="M31" s="66"/>
      <c r="N31" s="46" t="s">
        <v>30</v>
      </c>
      <c r="O31" s="46" t="s">
        <v>78</v>
      </c>
      <c r="P31" s="67">
        <v>3355.08</v>
      </c>
      <c r="Q31" s="68"/>
      <c r="R31" s="67">
        <f t="shared" si="12"/>
        <v>0</v>
      </c>
    </row>
    <row r="32" spans="1:18" s="50" customFormat="1" ht="33.75" hidden="1" customHeight="1">
      <c r="A32" s="43" t="s">
        <v>79</v>
      </c>
      <c r="B32" s="44" t="str">
        <f t="shared" si="10"/>
        <v xml:space="preserve">20 КЛ  0,4 кВ </v>
      </c>
      <c r="C32" s="45">
        <v>0.4</v>
      </c>
      <c r="D32" s="46" t="e">
        <f t="shared" ref="D32" si="20">#REF!</f>
        <v>#REF!</v>
      </c>
      <c r="E32" s="45"/>
      <c r="F32" s="46" t="s">
        <v>30</v>
      </c>
      <c r="G32" s="46" t="s">
        <v>78</v>
      </c>
      <c r="H32" s="47">
        <v>3355.08</v>
      </c>
      <c r="I32" s="49"/>
      <c r="J32" s="47" t="e">
        <f t="shared" si="11"/>
        <v>#REF!</v>
      </c>
      <c r="K32" s="66">
        <v>0.4</v>
      </c>
      <c r="L32" s="46" t="str">
        <f t="shared" si="14"/>
        <v xml:space="preserve">20 КЛ  0,4 кВ </v>
      </c>
      <c r="M32" s="66"/>
      <c r="N32" s="46" t="s">
        <v>30</v>
      </c>
      <c r="O32" s="46" t="s">
        <v>78</v>
      </c>
      <c r="P32" s="67">
        <v>3355.08</v>
      </c>
      <c r="Q32" s="68"/>
      <c r="R32" s="67">
        <f t="shared" si="12"/>
        <v>0</v>
      </c>
    </row>
    <row r="33" spans="1:18" s="50" customFormat="1" ht="33.75" hidden="1" customHeight="1">
      <c r="A33" s="43" t="s">
        <v>80</v>
      </c>
      <c r="B33" s="44" t="str">
        <f t="shared" si="10"/>
        <v xml:space="preserve">20 КЛ  0,4 кВ </v>
      </c>
      <c r="C33" s="45">
        <v>0.4</v>
      </c>
      <c r="D33" s="46" t="e">
        <f t="shared" ref="D33" si="21">#REF!</f>
        <v>#REF!</v>
      </c>
      <c r="E33" s="45"/>
      <c r="F33" s="46" t="s">
        <v>30</v>
      </c>
      <c r="G33" s="46" t="s">
        <v>78</v>
      </c>
      <c r="H33" s="47">
        <v>3355.08</v>
      </c>
      <c r="I33" s="49"/>
      <c r="J33" s="47" t="e">
        <f t="shared" si="11"/>
        <v>#REF!</v>
      </c>
      <c r="K33" s="66">
        <v>0.4</v>
      </c>
      <c r="L33" s="46" t="str">
        <f t="shared" si="14"/>
        <v xml:space="preserve">20 КЛ  0,4 кВ </v>
      </c>
      <c r="M33" s="66"/>
      <c r="N33" s="46" t="s">
        <v>30</v>
      </c>
      <c r="O33" s="46" t="s">
        <v>78</v>
      </c>
      <c r="P33" s="67">
        <v>3355.08</v>
      </c>
      <c r="Q33" s="68"/>
      <c r="R33" s="67">
        <f t="shared" si="12"/>
        <v>0</v>
      </c>
    </row>
    <row r="34" spans="1:18" s="50" customFormat="1" ht="33.75" hidden="1" customHeight="1">
      <c r="A34" s="43" t="s">
        <v>81</v>
      </c>
      <c r="B34" s="44" t="str">
        <f t="shared" si="10"/>
        <v>12 КЛ  0,4 кВ</v>
      </c>
      <c r="C34" s="45">
        <v>0.4</v>
      </c>
      <c r="D34" s="46" t="e">
        <f t="shared" ref="D34" si="22">#REF!</f>
        <v>#REF!</v>
      </c>
      <c r="E34" s="45"/>
      <c r="F34" s="46" t="s">
        <v>30</v>
      </c>
      <c r="G34" s="46" t="s">
        <v>78</v>
      </c>
      <c r="H34" s="47">
        <v>3355.08</v>
      </c>
      <c r="I34" s="49"/>
      <c r="J34" s="47" t="e">
        <f t="shared" si="11"/>
        <v>#REF!</v>
      </c>
      <c r="K34" s="66">
        <v>0.4</v>
      </c>
      <c r="L34" s="46" t="str">
        <f t="shared" si="14"/>
        <v>12 КЛ  0,4 кВ</v>
      </c>
      <c r="M34" s="66"/>
      <c r="N34" s="46" t="s">
        <v>30</v>
      </c>
      <c r="O34" s="46" t="s">
        <v>78</v>
      </c>
      <c r="P34" s="67">
        <v>3355.08</v>
      </c>
      <c r="Q34" s="68"/>
      <c r="R34" s="67">
        <f t="shared" si="12"/>
        <v>0</v>
      </c>
    </row>
    <row r="35" spans="1:18" s="50" customFormat="1" ht="33.75" hidden="1" customHeight="1">
      <c r="A35" s="43" t="s">
        <v>82</v>
      </c>
      <c r="B35" s="44" t="str">
        <f>B21</f>
        <v xml:space="preserve">8 КЛ  0,4 кВ </v>
      </c>
      <c r="C35" s="45">
        <v>0.4</v>
      </c>
      <c r="D35" s="46" t="e">
        <f t="shared" ref="D35" si="23">#REF!</f>
        <v>#REF!</v>
      </c>
      <c r="E35" s="45">
        <f t="shared" ref="E35" si="24">E21</f>
        <v>0</v>
      </c>
      <c r="F35" s="46" t="s">
        <v>30</v>
      </c>
      <c r="G35" s="46" t="s">
        <v>78</v>
      </c>
      <c r="H35" s="47">
        <v>3355.08</v>
      </c>
      <c r="I35" s="49"/>
      <c r="J35" s="47" t="e">
        <f t="shared" si="11"/>
        <v>#REF!</v>
      </c>
      <c r="K35" s="66">
        <v>0.4</v>
      </c>
      <c r="L35" s="46" t="str">
        <f t="shared" si="14"/>
        <v xml:space="preserve">8 КЛ  0,4 кВ </v>
      </c>
      <c r="M35" s="66">
        <f t="shared" ref="M35" si="25">M21</f>
        <v>0</v>
      </c>
      <c r="N35" s="46" t="s">
        <v>30</v>
      </c>
      <c r="O35" s="46" t="s">
        <v>78</v>
      </c>
      <c r="P35" s="67">
        <v>3355.08</v>
      </c>
      <c r="Q35" s="68"/>
      <c r="R35" s="67">
        <f t="shared" si="12"/>
        <v>0</v>
      </c>
    </row>
    <row r="36" spans="1:18" s="50" customFormat="1" ht="36.75" customHeight="1">
      <c r="A36" s="53" t="s">
        <v>83</v>
      </c>
      <c r="B36" s="54" t="s">
        <v>84</v>
      </c>
      <c r="C36" s="39" t="s">
        <v>17</v>
      </c>
      <c r="D36" s="39" t="s">
        <v>17</v>
      </c>
      <c r="E36" s="39" t="s">
        <v>17</v>
      </c>
      <c r="F36" s="55" t="s">
        <v>17</v>
      </c>
      <c r="G36" s="39" t="s">
        <v>17</v>
      </c>
      <c r="H36" s="41" t="s">
        <v>17</v>
      </c>
      <c r="I36" s="56" t="s">
        <v>17</v>
      </c>
      <c r="J36" s="39" t="s">
        <v>17</v>
      </c>
      <c r="K36" s="32" t="s">
        <v>17</v>
      </c>
      <c r="L36" s="32" t="s">
        <v>17</v>
      </c>
      <c r="M36" s="32" t="s">
        <v>17</v>
      </c>
      <c r="N36" s="55" t="s">
        <v>17</v>
      </c>
      <c r="O36" s="32" t="s">
        <v>17</v>
      </c>
      <c r="P36" s="33" t="s">
        <v>17</v>
      </c>
      <c r="Q36" s="56" t="s">
        <v>17</v>
      </c>
      <c r="R36" s="32" t="s">
        <v>17</v>
      </c>
    </row>
    <row r="37" spans="1:18" s="50" customFormat="1" ht="32.25" customHeight="1">
      <c r="A37" s="57" t="s">
        <v>85</v>
      </c>
      <c r="B37" s="44" t="str">
        <f>B15</f>
        <v>1КЛ (АПвПуг 3(1х240/50) 10 кВ</v>
      </c>
      <c r="C37" s="45">
        <v>10</v>
      </c>
      <c r="D37" s="45" t="str">
        <f>B37</f>
        <v>1КЛ (АПвПуг 3(1х240/50) 10 кВ</v>
      </c>
      <c r="E37" s="45">
        <v>0.09</v>
      </c>
      <c r="F37" s="46" t="s">
        <v>30</v>
      </c>
      <c r="G37" s="45" t="s">
        <v>31</v>
      </c>
      <c r="H37" s="47">
        <v>866.6</v>
      </c>
      <c r="I37" s="49">
        <f>0.35+0.5+0.15</f>
        <v>1</v>
      </c>
      <c r="J37" s="47">
        <f>H37*E37*I37</f>
        <v>77.994</v>
      </c>
      <c r="K37" s="66">
        <v>10</v>
      </c>
      <c r="L37" s="66" t="str">
        <f>B37</f>
        <v>1КЛ (АПвПуг 3(1х240/50) 10 кВ</v>
      </c>
      <c r="M37" s="66">
        <v>0</v>
      </c>
      <c r="N37" s="46" t="s">
        <v>30</v>
      </c>
      <c r="O37" s="66" t="s">
        <v>31</v>
      </c>
      <c r="P37" s="67">
        <v>866.6</v>
      </c>
      <c r="Q37" s="68">
        <f>0.35+0.5+0.15</f>
        <v>1</v>
      </c>
      <c r="R37" s="67">
        <f t="shared" ref="R37:R48" si="26">M37*P37*Q37</f>
        <v>0</v>
      </c>
    </row>
    <row r="38" spans="1:18" s="50" customFormat="1" ht="42.75" hidden="1" customHeight="1">
      <c r="A38" s="57" t="s">
        <v>86</v>
      </c>
      <c r="B38" s="58" t="str">
        <f t="shared" ref="B38:B40" si="27">B28</f>
        <v>4КЛ (АПвПуг 3(1х500/70) 10 кВ</v>
      </c>
      <c r="C38" s="45">
        <v>10</v>
      </c>
      <c r="D38" s="45" t="e">
        <f t="shared" ref="D38" si="28">#REF!</f>
        <v>#REF!</v>
      </c>
      <c r="E38" s="45" t="str">
        <f>E14</f>
        <v>нд</v>
      </c>
      <c r="F38" s="46" t="s">
        <v>30</v>
      </c>
      <c r="G38" s="45" t="s">
        <v>31</v>
      </c>
      <c r="H38" s="47">
        <v>866.6</v>
      </c>
      <c r="I38" s="49">
        <v>1</v>
      </c>
      <c r="J38" s="47"/>
      <c r="K38" s="66">
        <v>10</v>
      </c>
      <c r="L38" s="66" t="str">
        <f t="shared" ref="L38:L40" si="29">B38</f>
        <v>4КЛ (АПвПуг 3(1х500/70) 10 кВ</v>
      </c>
      <c r="M38" s="66">
        <f>M14</f>
        <v>0</v>
      </c>
      <c r="N38" s="46" t="s">
        <v>30</v>
      </c>
      <c r="O38" s="66" t="s">
        <v>31</v>
      </c>
      <c r="P38" s="67">
        <v>866.6</v>
      </c>
      <c r="Q38" s="68">
        <v>1</v>
      </c>
      <c r="R38" s="67"/>
    </row>
    <row r="39" spans="1:18" s="50" customFormat="1" ht="42.75" hidden="1" customHeight="1">
      <c r="A39" s="57" t="s">
        <v>87</v>
      </c>
      <c r="B39" s="58" t="str">
        <f t="shared" si="27"/>
        <v>1КЛ (АПвПуг 3(1х240/50) 10 кВ</v>
      </c>
      <c r="C39" s="45">
        <v>10</v>
      </c>
      <c r="D39" s="45" t="e">
        <f t="shared" ref="D39" si="30">#REF!</f>
        <v>#REF!</v>
      </c>
      <c r="E39" s="45">
        <f t="shared" ref="E39:E40" si="31">E29</f>
        <v>0</v>
      </c>
      <c r="F39" s="46" t="s">
        <v>30</v>
      </c>
      <c r="G39" s="45" t="s">
        <v>31</v>
      </c>
      <c r="H39" s="47">
        <v>866.6</v>
      </c>
      <c r="I39" s="49">
        <v>1</v>
      </c>
      <c r="J39" s="47"/>
      <c r="K39" s="66">
        <v>10</v>
      </c>
      <c r="L39" s="66" t="str">
        <f t="shared" si="29"/>
        <v>1КЛ (АПвПуг 3(1х240/50) 10 кВ</v>
      </c>
      <c r="M39" s="66">
        <f t="shared" ref="M39:M40" si="32">M29</f>
        <v>0</v>
      </c>
      <c r="N39" s="46" t="s">
        <v>30</v>
      </c>
      <c r="O39" s="66" t="s">
        <v>31</v>
      </c>
      <c r="P39" s="67">
        <v>866.6</v>
      </c>
      <c r="Q39" s="68">
        <v>1</v>
      </c>
      <c r="R39" s="67"/>
    </row>
    <row r="40" spans="1:18" s="50" customFormat="1" ht="42.75" hidden="1" customHeight="1">
      <c r="A40" s="57" t="s">
        <v>88</v>
      </c>
      <c r="B40" s="58" t="str">
        <f t="shared" si="27"/>
        <v xml:space="preserve">1КЛ(240 мм) 10 кВ </v>
      </c>
      <c r="C40" s="45">
        <v>10</v>
      </c>
      <c r="D40" s="45" t="e">
        <f t="shared" ref="D40" si="33">#REF!</f>
        <v>#REF!</v>
      </c>
      <c r="E40" s="45">
        <f t="shared" si="31"/>
        <v>0</v>
      </c>
      <c r="F40" s="46" t="s">
        <v>30</v>
      </c>
      <c r="G40" s="45" t="s">
        <v>31</v>
      </c>
      <c r="H40" s="47">
        <v>866.6</v>
      </c>
      <c r="I40" s="49">
        <v>1</v>
      </c>
      <c r="J40" s="47"/>
      <c r="K40" s="66">
        <v>10</v>
      </c>
      <c r="L40" s="66" t="str">
        <f t="shared" si="29"/>
        <v xml:space="preserve">1КЛ(240 мм) 10 кВ </v>
      </c>
      <c r="M40" s="66">
        <f t="shared" si="32"/>
        <v>0</v>
      </c>
      <c r="N40" s="46" t="s">
        <v>30</v>
      </c>
      <c r="O40" s="66" t="s">
        <v>31</v>
      </c>
      <c r="P40" s="67">
        <v>866.6</v>
      </c>
      <c r="Q40" s="68">
        <v>1</v>
      </c>
      <c r="R40" s="67"/>
    </row>
    <row r="41" spans="1:18" s="50" customFormat="1" ht="33" hidden="1" customHeight="1">
      <c r="A41" s="57" t="s">
        <v>89</v>
      </c>
      <c r="B41" s="58" t="s">
        <v>90</v>
      </c>
      <c r="C41" s="45">
        <v>10</v>
      </c>
      <c r="D41" s="45" t="s">
        <v>91</v>
      </c>
      <c r="E41" s="45">
        <v>0</v>
      </c>
      <c r="F41" s="46" t="s">
        <v>92</v>
      </c>
      <c r="G41" s="45" t="s">
        <v>93</v>
      </c>
      <c r="H41" s="47">
        <v>425.5</v>
      </c>
      <c r="I41" s="49">
        <v>1</v>
      </c>
      <c r="J41" s="47">
        <f>H41*E41*I41</f>
        <v>0</v>
      </c>
      <c r="K41" s="66">
        <v>10</v>
      </c>
      <c r="L41" s="66" t="s">
        <v>91</v>
      </c>
      <c r="M41" s="66">
        <v>0</v>
      </c>
      <c r="N41" s="46" t="s">
        <v>92</v>
      </c>
      <c r="O41" s="66" t="s">
        <v>93</v>
      </c>
      <c r="P41" s="67">
        <v>425.5</v>
      </c>
      <c r="Q41" s="68">
        <v>1</v>
      </c>
      <c r="R41" s="67">
        <f t="shared" si="26"/>
        <v>0</v>
      </c>
    </row>
    <row r="42" spans="1:18" s="50" customFormat="1" ht="39" hidden="1" customHeight="1">
      <c r="A42" s="57" t="s">
        <v>87</v>
      </c>
      <c r="B42" s="58" t="s">
        <v>94</v>
      </c>
      <c r="C42" s="45">
        <v>20</v>
      </c>
      <c r="D42" s="45" t="e">
        <f>#REF!</f>
        <v>#REF!</v>
      </c>
      <c r="E42" s="45"/>
      <c r="F42" s="46" t="s">
        <v>30</v>
      </c>
      <c r="G42" s="45" t="s">
        <v>31</v>
      </c>
      <c r="H42" s="47">
        <v>866.6</v>
      </c>
      <c r="I42" s="49"/>
      <c r="J42" s="47" t="e">
        <f t="shared" ref="J42:J48" si="34">D42*G42*H42</f>
        <v>#REF!</v>
      </c>
      <c r="K42" s="66">
        <v>20</v>
      </c>
      <c r="L42" s="66" t="str">
        <f>B42</f>
        <v>Затраты на проектно-изыскательские работы по 2КЛ 20 кВ от РП 20 кВ до РТП 20/0,4 кВ</v>
      </c>
      <c r="M42" s="66"/>
      <c r="N42" s="46" t="s">
        <v>30</v>
      </c>
      <c r="O42" s="66" t="s">
        <v>31</v>
      </c>
      <c r="P42" s="67">
        <v>866.6</v>
      </c>
      <c r="Q42" s="68"/>
      <c r="R42" s="67">
        <f t="shared" si="26"/>
        <v>0</v>
      </c>
    </row>
    <row r="43" spans="1:18" s="50" customFormat="1" ht="35.25" hidden="1" customHeight="1">
      <c r="A43" s="57" t="s">
        <v>88</v>
      </c>
      <c r="B43" s="44" t="s">
        <v>95</v>
      </c>
      <c r="C43" s="45">
        <v>20</v>
      </c>
      <c r="D43" s="45" t="e">
        <f>#REF!</f>
        <v>#REF!</v>
      </c>
      <c r="E43" s="45"/>
      <c r="F43" s="46" t="s">
        <v>30</v>
      </c>
      <c r="G43" s="45" t="s">
        <v>31</v>
      </c>
      <c r="H43" s="47">
        <v>866.6</v>
      </c>
      <c r="I43" s="49"/>
      <c r="J43" s="47" t="e">
        <f t="shared" si="34"/>
        <v>#REF!</v>
      </c>
      <c r="K43" s="66">
        <v>20</v>
      </c>
      <c r="L43" s="66" t="str">
        <f>B43</f>
        <v>2 КЛ  20 кВ от РТП 20/0,4 кВ до ТП №1.2,3,4 с.1,2</v>
      </c>
      <c r="M43" s="66"/>
      <c r="N43" s="46" t="s">
        <v>30</v>
      </c>
      <c r="O43" s="66" t="s">
        <v>31</v>
      </c>
      <c r="P43" s="67">
        <v>866.6</v>
      </c>
      <c r="Q43" s="68"/>
      <c r="R43" s="67">
        <f t="shared" si="26"/>
        <v>0</v>
      </c>
    </row>
    <row r="44" spans="1:18" s="50" customFormat="1" ht="35.25" hidden="1" customHeight="1">
      <c r="A44" s="57" t="s">
        <v>96</v>
      </c>
      <c r="B44" s="58" t="s">
        <v>97</v>
      </c>
      <c r="C44" s="45">
        <v>0.4</v>
      </c>
      <c r="D44" s="45" t="e">
        <f t="shared" ref="D44" si="35">#REF!</f>
        <v>#REF!</v>
      </c>
      <c r="E44" s="45"/>
      <c r="F44" s="46" t="s">
        <v>30</v>
      </c>
      <c r="G44" s="45" t="s">
        <v>31</v>
      </c>
      <c r="H44" s="47">
        <v>866.6</v>
      </c>
      <c r="I44" s="49"/>
      <c r="J44" s="47" t="e">
        <f t="shared" si="34"/>
        <v>#REF!</v>
      </c>
      <c r="K44" s="66">
        <v>0.4</v>
      </c>
      <c r="L44" s="66" t="str">
        <f t="shared" ref="L44:L48" si="36">B44</f>
        <v>Затраты на проектно-изыскательские работы по 24 КЛ  0,4 кВ от РТП 20/0,4 кВ до ГРЩ-1 0,4 кВ</v>
      </c>
      <c r="M44" s="66"/>
      <c r="N44" s="46" t="s">
        <v>30</v>
      </c>
      <c r="O44" s="66" t="s">
        <v>31</v>
      </c>
      <c r="P44" s="67">
        <v>866.6</v>
      </c>
      <c r="Q44" s="68"/>
      <c r="R44" s="67">
        <f t="shared" si="26"/>
        <v>0</v>
      </c>
    </row>
    <row r="45" spans="1:18" s="50" customFormat="1" ht="35.25" hidden="1" customHeight="1">
      <c r="A45" s="57" t="s">
        <v>98</v>
      </c>
      <c r="B45" s="58" t="s">
        <v>99</v>
      </c>
      <c r="C45" s="45">
        <v>0.4</v>
      </c>
      <c r="D45" s="45" t="e">
        <f t="shared" ref="D45" si="37">#REF!</f>
        <v>#REF!</v>
      </c>
      <c r="E45" s="45"/>
      <c r="F45" s="46" t="s">
        <v>30</v>
      </c>
      <c r="G45" s="45" t="s">
        <v>31</v>
      </c>
      <c r="H45" s="47">
        <v>866.6</v>
      </c>
      <c r="I45" s="49"/>
      <c r="J45" s="47" t="e">
        <f t="shared" si="34"/>
        <v>#REF!</v>
      </c>
      <c r="K45" s="66">
        <v>0.4</v>
      </c>
      <c r="L45" s="66" t="str">
        <f t="shared" si="36"/>
        <v>Затраты на проектно-изыскательские работы по 20 КЛ  0,4 кВ от  ТП №1.20/0,4 кВ до ГРЩ-2 0,4 кВ</v>
      </c>
      <c r="M45" s="66"/>
      <c r="N45" s="46" t="s">
        <v>30</v>
      </c>
      <c r="O45" s="66" t="s">
        <v>31</v>
      </c>
      <c r="P45" s="67">
        <v>866.6</v>
      </c>
      <c r="Q45" s="68"/>
      <c r="R45" s="67">
        <f t="shared" si="26"/>
        <v>0</v>
      </c>
    </row>
    <row r="46" spans="1:18" s="50" customFormat="1" ht="35.25" hidden="1" customHeight="1">
      <c r="A46" s="57" t="s">
        <v>100</v>
      </c>
      <c r="B46" s="58" t="s">
        <v>101</v>
      </c>
      <c r="C46" s="45">
        <v>0.4</v>
      </c>
      <c r="D46" s="45" t="e">
        <f t="shared" ref="D46" si="38">#REF!</f>
        <v>#REF!</v>
      </c>
      <c r="E46" s="45"/>
      <c r="F46" s="46" t="s">
        <v>30</v>
      </c>
      <c r="G46" s="45" t="s">
        <v>31</v>
      </c>
      <c r="H46" s="47">
        <v>866.6</v>
      </c>
      <c r="I46" s="49"/>
      <c r="J46" s="47" t="e">
        <f t="shared" si="34"/>
        <v>#REF!</v>
      </c>
      <c r="K46" s="66">
        <v>0.4</v>
      </c>
      <c r="L46" s="66" t="str">
        <f t="shared" si="36"/>
        <v>Затраты на проектно-изыскательские работы по 20 КЛ  0,4 кВ от  ТП №2 20/0,4 кВ до ГРЩ-3 0,4 кВ</v>
      </c>
      <c r="M46" s="66"/>
      <c r="N46" s="46" t="s">
        <v>30</v>
      </c>
      <c r="O46" s="66" t="s">
        <v>31</v>
      </c>
      <c r="P46" s="67">
        <v>866.6</v>
      </c>
      <c r="Q46" s="68"/>
      <c r="R46" s="67">
        <f t="shared" si="26"/>
        <v>0</v>
      </c>
    </row>
    <row r="47" spans="1:18" s="50" customFormat="1" ht="35.25" hidden="1" customHeight="1">
      <c r="A47" s="57" t="s">
        <v>102</v>
      </c>
      <c r="B47" s="58" t="s">
        <v>103</v>
      </c>
      <c r="C47" s="45">
        <v>0.4</v>
      </c>
      <c r="D47" s="45" t="e">
        <f t="shared" ref="D47" si="39">#REF!</f>
        <v>#REF!</v>
      </c>
      <c r="E47" s="45"/>
      <c r="F47" s="46" t="s">
        <v>30</v>
      </c>
      <c r="G47" s="45" t="s">
        <v>31</v>
      </c>
      <c r="H47" s="47">
        <v>866.6</v>
      </c>
      <c r="I47" s="49"/>
      <c r="J47" s="47" t="e">
        <f t="shared" si="34"/>
        <v>#REF!</v>
      </c>
      <c r="K47" s="66">
        <v>0.4</v>
      </c>
      <c r="L47" s="66" t="str">
        <f t="shared" si="36"/>
        <v>Затраты на проектно-изыскательские работы по 12КЛ  0,4 кВ от  ТП №3 20/0,4 кВ до ГРЩ-4 0,4 кВ</v>
      </c>
      <c r="M47" s="66"/>
      <c r="N47" s="46" t="s">
        <v>30</v>
      </c>
      <c r="O47" s="66" t="s">
        <v>31</v>
      </c>
      <c r="P47" s="67">
        <v>866.6</v>
      </c>
      <c r="Q47" s="68"/>
      <c r="R47" s="67">
        <f t="shared" si="26"/>
        <v>0</v>
      </c>
    </row>
    <row r="48" spans="1:18" s="50" customFormat="1" ht="35.25" hidden="1" customHeight="1">
      <c r="A48" s="57" t="s">
        <v>104</v>
      </c>
      <c r="B48" s="58" t="s">
        <v>105</v>
      </c>
      <c r="C48" s="45">
        <v>0.4</v>
      </c>
      <c r="D48" s="45" t="e">
        <f t="shared" ref="D48" si="40">#REF!</f>
        <v>#REF!</v>
      </c>
      <c r="E48" s="45"/>
      <c r="F48" s="46" t="s">
        <v>30</v>
      </c>
      <c r="G48" s="45" t="s">
        <v>31</v>
      </c>
      <c r="H48" s="47">
        <v>866.6</v>
      </c>
      <c r="I48" s="49"/>
      <c r="J48" s="47" t="e">
        <f t="shared" si="34"/>
        <v>#REF!</v>
      </c>
      <c r="K48" s="66">
        <v>0.4</v>
      </c>
      <c r="L48" s="66" t="str">
        <f t="shared" si="36"/>
        <v>Затраты на проектно-изыскательские работы по     8 КЛ  0,4 кВ от  ТП №4 20/0,4 кВ до ГРЩ-5 0,4 кВ</v>
      </c>
      <c r="M48" s="66"/>
      <c r="N48" s="46" t="s">
        <v>30</v>
      </c>
      <c r="O48" s="66" t="s">
        <v>31</v>
      </c>
      <c r="P48" s="67">
        <v>866.6</v>
      </c>
      <c r="Q48" s="68"/>
      <c r="R48" s="67">
        <f t="shared" si="26"/>
        <v>0</v>
      </c>
    </row>
    <row r="49" spans="1:18" s="50" customFormat="1" ht="35.25" hidden="1" customHeight="1">
      <c r="A49" s="59" t="s">
        <v>20</v>
      </c>
      <c r="B49" s="60" t="s">
        <v>106</v>
      </c>
      <c r="C49" s="61" t="s">
        <v>17</v>
      </c>
      <c r="D49" s="61" t="s">
        <v>17</v>
      </c>
      <c r="E49" s="61" t="s">
        <v>17</v>
      </c>
      <c r="F49" s="62" t="s">
        <v>17</v>
      </c>
      <c r="G49" s="61" t="s">
        <v>17</v>
      </c>
      <c r="H49" s="63" t="s">
        <v>17</v>
      </c>
      <c r="I49" s="64" t="s">
        <v>17</v>
      </c>
      <c r="J49" s="61" t="s">
        <v>17</v>
      </c>
      <c r="K49" s="82" t="s">
        <v>17</v>
      </c>
      <c r="L49" s="82" t="s">
        <v>17</v>
      </c>
      <c r="M49" s="82" t="s">
        <v>17</v>
      </c>
      <c r="N49" s="62" t="s">
        <v>17</v>
      </c>
      <c r="O49" s="82" t="s">
        <v>17</v>
      </c>
      <c r="P49" s="83" t="s">
        <v>17</v>
      </c>
      <c r="Q49" s="64" t="s">
        <v>17</v>
      </c>
      <c r="R49" s="82" t="s">
        <v>17</v>
      </c>
    </row>
    <row r="50" spans="1:18" s="50" customFormat="1" hidden="1">
      <c r="A50" s="57" t="s">
        <v>107</v>
      </c>
      <c r="B50" s="65" t="str">
        <f>B15</f>
        <v>1КЛ (АПвПуг 3(1х240/50) 10 кВ</v>
      </c>
      <c r="C50" s="45">
        <v>10</v>
      </c>
      <c r="D50" s="46" t="s">
        <v>108</v>
      </c>
      <c r="E50" s="45">
        <v>0</v>
      </c>
      <c r="F50" s="46" t="s">
        <v>109</v>
      </c>
      <c r="G50" s="46" t="s">
        <v>110</v>
      </c>
      <c r="H50" s="47">
        <v>87943.56</v>
      </c>
      <c r="I50" s="49">
        <v>1</v>
      </c>
      <c r="J50" s="47">
        <f>H50*E50*I50</f>
        <v>0</v>
      </c>
      <c r="K50" s="66">
        <v>10</v>
      </c>
      <c r="L50" s="46" t="s">
        <v>108</v>
      </c>
      <c r="M50" s="66">
        <v>0</v>
      </c>
      <c r="N50" s="46" t="s">
        <v>109</v>
      </c>
      <c r="O50" s="46" t="s">
        <v>110</v>
      </c>
      <c r="P50" s="67">
        <v>87943.56</v>
      </c>
      <c r="Q50" s="68">
        <v>1</v>
      </c>
      <c r="R50" s="67">
        <f t="shared" ref="R50:R53" si="41">M50*P50*Q50</f>
        <v>0</v>
      </c>
    </row>
    <row r="51" spans="1:18" s="48" customFormat="1" hidden="1">
      <c r="A51" s="57" t="s">
        <v>111</v>
      </c>
      <c r="B51" s="88" t="str">
        <f>B28</f>
        <v>4КЛ (АПвПуг 3(1х500/70) 10 кВ</v>
      </c>
      <c r="C51" s="45">
        <v>10</v>
      </c>
      <c r="D51" s="46" t="s">
        <v>112</v>
      </c>
      <c r="E51" s="45">
        <v>0</v>
      </c>
      <c r="F51" s="46" t="s">
        <v>109</v>
      </c>
      <c r="G51" s="46" t="s">
        <v>110</v>
      </c>
      <c r="H51" s="47">
        <v>56445.5</v>
      </c>
      <c r="I51" s="49">
        <v>3</v>
      </c>
      <c r="J51" s="47" t="e">
        <f t="shared" ref="J51:J53" si="42">D51*G51*H51</f>
        <v>#VALUE!</v>
      </c>
      <c r="K51" s="66">
        <v>10</v>
      </c>
      <c r="L51" s="46" t="s">
        <v>112</v>
      </c>
      <c r="M51" s="66">
        <v>0</v>
      </c>
      <c r="N51" s="46" t="s">
        <v>109</v>
      </c>
      <c r="O51" s="46" t="s">
        <v>110</v>
      </c>
      <c r="P51" s="67">
        <v>56445.5</v>
      </c>
      <c r="Q51" s="68">
        <v>3</v>
      </c>
      <c r="R51" s="67">
        <f t="shared" si="41"/>
        <v>0</v>
      </c>
    </row>
    <row r="52" spans="1:18" s="48" customFormat="1" hidden="1">
      <c r="A52" s="57" t="s">
        <v>113</v>
      </c>
      <c r="B52" s="88" t="str">
        <f>B29</f>
        <v>1КЛ (АПвПуг 3(1х240/50) 10 кВ</v>
      </c>
      <c r="C52" s="45">
        <v>10</v>
      </c>
      <c r="D52" s="46" t="s">
        <v>108</v>
      </c>
      <c r="E52" s="45">
        <v>0</v>
      </c>
      <c r="F52" s="46" t="s">
        <v>109</v>
      </c>
      <c r="G52" s="46" t="s">
        <v>110</v>
      </c>
      <c r="H52" s="47">
        <v>87943.56</v>
      </c>
      <c r="I52" s="49">
        <v>1</v>
      </c>
      <c r="J52" s="47" t="e">
        <f t="shared" si="42"/>
        <v>#VALUE!</v>
      </c>
      <c r="K52" s="66">
        <v>10</v>
      </c>
      <c r="L52" s="46" t="s">
        <v>108</v>
      </c>
      <c r="M52" s="66">
        <v>0</v>
      </c>
      <c r="N52" s="46" t="s">
        <v>109</v>
      </c>
      <c r="O52" s="46" t="s">
        <v>110</v>
      </c>
      <c r="P52" s="67">
        <v>87943.56</v>
      </c>
      <c r="Q52" s="68">
        <v>1</v>
      </c>
      <c r="R52" s="67">
        <f t="shared" si="41"/>
        <v>0</v>
      </c>
    </row>
    <row r="53" spans="1:18" s="48" customFormat="1" ht="47.25" hidden="1" customHeight="1">
      <c r="A53" s="57" t="s">
        <v>114</v>
      </c>
      <c r="B53" s="88" t="str">
        <f>B30</f>
        <v xml:space="preserve">1КЛ(240 мм) 10 кВ </v>
      </c>
      <c r="C53" s="45">
        <v>20</v>
      </c>
      <c r="D53" s="46" t="str">
        <f t="shared" ref="D53" si="43">D52</f>
        <v>3 трубы диаметром 160мм</v>
      </c>
      <c r="E53" s="45"/>
      <c r="F53" s="46" t="s">
        <v>109</v>
      </c>
      <c r="G53" s="46" t="s">
        <v>110</v>
      </c>
      <c r="H53" s="47">
        <v>56445.5</v>
      </c>
      <c r="I53" s="49"/>
      <c r="J53" s="47" t="e">
        <f t="shared" si="42"/>
        <v>#VALUE!</v>
      </c>
      <c r="K53" s="66">
        <v>20</v>
      </c>
      <c r="L53" s="46" t="str">
        <f t="shared" ref="L53" si="44">L52</f>
        <v>3 трубы диаметром 160мм</v>
      </c>
      <c r="M53" s="66"/>
      <c r="N53" s="46" t="s">
        <v>109</v>
      </c>
      <c r="O53" s="46" t="s">
        <v>110</v>
      </c>
      <c r="P53" s="67">
        <v>56445.5</v>
      </c>
      <c r="Q53" s="68"/>
      <c r="R53" s="67">
        <f t="shared" si="41"/>
        <v>0</v>
      </c>
    </row>
    <row r="54" spans="1:18" s="48" customFormat="1" ht="35.25" hidden="1" customHeight="1">
      <c r="A54" s="53" t="s">
        <v>21</v>
      </c>
      <c r="B54" s="54" t="s">
        <v>115</v>
      </c>
      <c r="C54" s="39" t="s">
        <v>17</v>
      </c>
      <c r="D54" s="39" t="s">
        <v>17</v>
      </c>
      <c r="E54" s="39" t="s">
        <v>17</v>
      </c>
      <c r="F54" s="55" t="s">
        <v>17</v>
      </c>
      <c r="G54" s="39" t="s">
        <v>17</v>
      </c>
      <c r="H54" s="41" t="s">
        <v>17</v>
      </c>
      <c r="I54" s="56" t="s">
        <v>17</v>
      </c>
      <c r="J54" s="39" t="s">
        <v>17</v>
      </c>
      <c r="K54" s="32" t="s">
        <v>17</v>
      </c>
      <c r="L54" s="32" t="s">
        <v>17</v>
      </c>
      <c r="M54" s="32" t="s">
        <v>17</v>
      </c>
      <c r="N54" s="55" t="s">
        <v>17</v>
      </c>
      <c r="O54" s="32" t="s">
        <v>17</v>
      </c>
      <c r="P54" s="33" t="s">
        <v>17</v>
      </c>
      <c r="Q54" s="56" t="s">
        <v>17</v>
      </c>
      <c r="R54" s="32" t="s">
        <v>17</v>
      </c>
    </row>
    <row r="55" spans="1:18" s="48" customFormat="1" ht="103.5" hidden="1" customHeight="1">
      <c r="A55" s="57" t="s">
        <v>116</v>
      </c>
      <c r="B55" s="88" t="str">
        <f>B13</f>
        <v>2КЛ (АПвПуг 3(1х500/70) 10 кВ</v>
      </c>
      <c r="C55" s="45">
        <v>20</v>
      </c>
      <c r="D55" s="46" t="s">
        <v>117</v>
      </c>
      <c r="E55" s="45">
        <v>0</v>
      </c>
      <c r="F55" s="46" t="s">
        <v>118</v>
      </c>
      <c r="G55" s="46" t="s">
        <v>119</v>
      </c>
      <c r="H55" s="47">
        <v>4.79</v>
      </c>
      <c r="I55" s="49"/>
      <c r="J55" s="47" t="e">
        <f t="shared" ref="J55:J56" si="45">D55*G55*H55</f>
        <v>#VALUE!</v>
      </c>
      <c r="K55" s="66">
        <v>20</v>
      </c>
      <c r="L55" s="46" t="s">
        <v>117</v>
      </c>
      <c r="M55" s="66">
        <v>0</v>
      </c>
      <c r="N55" s="46" t="s">
        <v>118</v>
      </c>
      <c r="O55" s="46" t="s">
        <v>119</v>
      </c>
      <c r="P55" s="67">
        <v>4.79</v>
      </c>
      <c r="Q55" s="68"/>
      <c r="R55" s="67">
        <f t="shared" ref="R55:R56" si="46">M55*P55*Q55</f>
        <v>0</v>
      </c>
    </row>
    <row r="56" spans="1:18" s="48" customFormat="1" ht="35.25" hidden="1" customHeight="1">
      <c r="A56" s="57" t="s">
        <v>120</v>
      </c>
      <c r="B56" s="88" t="str">
        <f>B14</f>
        <v>4КЛ (АПвПуг 3(1х500/70) 10 кВ</v>
      </c>
      <c r="C56" s="45">
        <v>20</v>
      </c>
      <c r="D56" s="46" t="s">
        <v>117</v>
      </c>
      <c r="E56" s="45">
        <v>0</v>
      </c>
      <c r="F56" s="46" t="s">
        <v>118</v>
      </c>
      <c r="G56" s="46" t="s">
        <v>119</v>
      </c>
      <c r="H56" s="47">
        <v>4.79</v>
      </c>
      <c r="I56" s="49"/>
      <c r="J56" s="47" t="e">
        <f t="shared" si="45"/>
        <v>#VALUE!</v>
      </c>
      <c r="K56" s="66">
        <v>20</v>
      </c>
      <c r="L56" s="46" t="s">
        <v>117</v>
      </c>
      <c r="M56" s="66">
        <v>0</v>
      </c>
      <c r="N56" s="46" t="s">
        <v>118</v>
      </c>
      <c r="O56" s="46" t="s">
        <v>119</v>
      </c>
      <c r="P56" s="67">
        <v>4.79</v>
      </c>
      <c r="Q56" s="68"/>
      <c r="R56" s="67">
        <f t="shared" si="46"/>
        <v>0</v>
      </c>
    </row>
    <row r="57" spans="1:18" s="29" customFormat="1" ht="37.5" customHeight="1">
      <c r="A57" s="53"/>
      <c r="B57" s="69" t="s">
        <v>121</v>
      </c>
      <c r="C57" s="39" t="s">
        <v>17</v>
      </c>
      <c r="D57" s="39" t="s">
        <v>17</v>
      </c>
      <c r="E57" s="39" t="s">
        <v>17</v>
      </c>
      <c r="F57" s="55" t="s">
        <v>17</v>
      </c>
      <c r="G57" s="39" t="s">
        <v>17</v>
      </c>
      <c r="H57" s="41" t="s">
        <v>17</v>
      </c>
      <c r="I57" s="56" t="s">
        <v>17</v>
      </c>
      <c r="J57" s="70">
        <f>J15+J27+J37+J41+J50</f>
        <v>1505.4875999999999</v>
      </c>
      <c r="K57" s="32" t="s">
        <v>17</v>
      </c>
      <c r="L57" s="32" t="s">
        <v>17</v>
      </c>
      <c r="M57" s="32" t="s">
        <v>17</v>
      </c>
      <c r="N57" s="55" t="s">
        <v>17</v>
      </c>
      <c r="O57" s="32" t="s">
        <v>17</v>
      </c>
      <c r="P57" s="33" t="s">
        <v>17</v>
      </c>
      <c r="Q57" s="56" t="s">
        <v>17</v>
      </c>
      <c r="R57" s="70">
        <f>R13+R14+R15+R27+R28+R29+R37+R41+R50+R51</f>
        <v>0</v>
      </c>
    </row>
    <row r="58" spans="1:18">
      <c r="A58" s="105"/>
      <c r="B58" s="105"/>
      <c r="C58" s="105"/>
      <c r="D58" s="105"/>
      <c r="E58" s="105"/>
      <c r="F58" s="105"/>
      <c r="G58" s="105"/>
      <c r="H58" s="30"/>
      <c r="P58" s="84"/>
      <c r="Q58" s="84"/>
      <c r="R58" s="85"/>
    </row>
    <row r="59" spans="1:18">
      <c r="A59" s="71"/>
      <c r="B59" s="72"/>
      <c r="C59" s="71"/>
      <c r="D59" s="71"/>
      <c r="E59" s="71"/>
      <c r="F59" s="71"/>
      <c r="G59" s="71"/>
    </row>
    <row r="60" spans="1:18">
      <c r="A60" s="71"/>
      <c r="B60" s="71"/>
      <c r="C60" s="71"/>
      <c r="D60" s="71"/>
      <c r="E60" s="71"/>
      <c r="F60" s="71"/>
      <c r="G60" s="71"/>
    </row>
    <row r="61" spans="1:18">
      <c r="A61" s="71"/>
      <c r="B61" s="71"/>
      <c r="C61" s="71"/>
      <c r="D61" s="71"/>
      <c r="E61" s="71"/>
      <c r="F61" s="71"/>
      <c r="G61" s="71"/>
    </row>
    <row r="62" spans="1:18">
      <c r="A62" s="73"/>
      <c r="B62" s="74"/>
      <c r="C62" s="71"/>
      <c r="D62" s="71"/>
      <c r="E62" s="71"/>
      <c r="F62" s="71"/>
      <c r="G62" s="71"/>
    </row>
    <row r="63" spans="1:18">
      <c r="A63" s="73"/>
      <c r="B63" s="74"/>
      <c r="C63" s="71"/>
      <c r="D63" s="71"/>
      <c r="E63" s="71"/>
      <c r="F63" s="71"/>
      <c r="G63" s="71"/>
    </row>
    <row r="64" spans="1:18">
      <c r="A64" s="73"/>
      <c r="B64" s="71"/>
      <c r="C64" s="74"/>
      <c r="D64" s="74"/>
      <c r="E64" s="74"/>
      <c r="F64" s="74"/>
      <c r="G64" s="74"/>
    </row>
    <row r="65" spans="1:18">
      <c r="A65" s="73"/>
      <c r="B65" s="71"/>
      <c r="C65" s="74"/>
      <c r="D65" s="74"/>
      <c r="E65" s="74"/>
      <c r="F65" s="74"/>
      <c r="G65" s="74"/>
    </row>
    <row r="66" spans="1:18">
      <c r="A66" s="75"/>
      <c r="B66" s="71"/>
      <c r="C66" s="74"/>
      <c r="D66" s="74"/>
      <c r="E66" s="74"/>
      <c r="F66" s="74"/>
      <c r="G66" s="74"/>
    </row>
    <row r="67" spans="1:18">
      <c r="A67" s="75"/>
      <c r="B67" s="71"/>
      <c r="C67" s="74"/>
      <c r="D67" s="74"/>
      <c r="E67" s="74"/>
      <c r="F67" s="74"/>
      <c r="G67" s="74"/>
    </row>
    <row r="68" spans="1:18">
      <c r="B68" s="72"/>
      <c r="C68" s="76"/>
      <c r="D68" s="77"/>
      <c r="E68" s="76"/>
      <c r="F68" s="76"/>
      <c r="G68" s="78"/>
      <c r="H68" s="78"/>
      <c r="I68" s="79"/>
      <c r="J68" s="79"/>
      <c r="K68" s="80"/>
      <c r="L68" s="80"/>
    </row>
    <row r="69" spans="1:18">
      <c r="B69" s="71"/>
    </row>
    <row r="70" spans="1:18" s="26" customFormat="1">
      <c r="A70" s="23"/>
      <c r="B70" s="71"/>
      <c r="D70" s="81"/>
      <c r="G70" s="27"/>
      <c r="H70" s="27"/>
      <c r="I70" s="28"/>
      <c r="J70" s="28"/>
      <c r="K70" s="30"/>
      <c r="L70" s="30"/>
      <c r="M70" s="30"/>
      <c r="N70" s="30"/>
      <c r="O70" s="30"/>
      <c r="P70" s="31"/>
      <c r="Q70" s="31"/>
      <c r="R70" s="30"/>
    </row>
    <row r="71" spans="1:18">
      <c r="B71" s="71"/>
    </row>
    <row r="72" spans="1:18">
      <c r="B72" s="71"/>
    </row>
  </sheetData>
  <mergeCells count="12">
    <mergeCell ref="C3:J3"/>
    <mergeCell ref="C4:J4"/>
    <mergeCell ref="G5:J5"/>
    <mergeCell ref="A58:G58"/>
    <mergeCell ref="A2:R2"/>
    <mergeCell ref="K3:R3"/>
    <mergeCell ref="K4:R4"/>
    <mergeCell ref="K5:N5"/>
    <mergeCell ref="O5:R5"/>
    <mergeCell ref="A3:A6"/>
    <mergeCell ref="B3:B6"/>
    <mergeCell ref="C5:F5"/>
  </mergeCells>
  <pageMargins left="0.47244094488188981" right="0.55118110236220474" top="0.82677165354330717" bottom="0.55118110236220474" header="0.31496062992125984" footer="0.19685039370078741"/>
  <pageSetup paperSize="9" scale="68" fitToHeight="0" orientation="landscape" r:id="rId1"/>
  <headerFooter differentFirst="1">
    <oddHeader>&amp;C&amp;P</oddHead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F28"/>
  <sheetViews>
    <sheetView showZeros="0" tabSelected="1" view="pageBreakPreview" zoomScale="85" zoomScaleNormal="85" zoomScaleSheetLayoutView="85" workbookViewId="0">
      <selection activeCell="E9" sqref="E9"/>
    </sheetView>
  </sheetViews>
  <sheetFormatPr defaultColWidth="8" defaultRowHeight="15.75"/>
  <cols>
    <col min="1" max="1" width="18.125" style="4" customWidth="1"/>
    <col min="2" max="2" width="56.25" style="3" customWidth="1"/>
    <col min="3" max="3" width="26.875" style="2" customWidth="1"/>
    <col min="4" max="4" width="26.875" style="11" customWidth="1"/>
    <col min="5" max="5" width="26.875" style="1" customWidth="1"/>
    <col min="6" max="16384" width="8" style="1"/>
  </cols>
  <sheetData>
    <row r="1" spans="1:6">
      <c r="E1" s="9"/>
    </row>
    <row r="2" spans="1:6" ht="15.75" customHeight="1">
      <c r="A2" s="111" t="s">
        <v>39</v>
      </c>
      <c r="B2" s="111"/>
      <c r="C2" s="111"/>
      <c r="E2" s="9"/>
    </row>
    <row r="3" spans="1:6">
      <c r="A3" s="112"/>
      <c r="B3" s="112"/>
      <c r="C3" s="112"/>
      <c r="E3" s="9"/>
    </row>
    <row r="4" spans="1:6" ht="61.5" customHeight="1">
      <c r="A4" s="18" t="s">
        <v>0</v>
      </c>
      <c r="B4" s="12" t="s">
        <v>12</v>
      </c>
      <c r="C4" s="8" t="s">
        <v>8</v>
      </c>
      <c r="D4" s="5"/>
      <c r="E4" s="5"/>
    </row>
    <row r="5" spans="1:6">
      <c r="A5" s="18">
        <v>1</v>
      </c>
      <c r="B5" s="12">
        <v>2</v>
      </c>
      <c r="C5" s="8">
        <v>4</v>
      </c>
      <c r="D5" s="6"/>
      <c r="E5" s="7"/>
    </row>
    <row r="6" spans="1:6" ht="47.25">
      <c r="A6" s="13">
        <v>1</v>
      </c>
      <c r="B6" s="14" t="s">
        <v>13</v>
      </c>
      <c r="C6" s="98">
        <f>т5!J57/1000</f>
        <v>1.5054875999999999</v>
      </c>
      <c r="D6" s="89"/>
      <c r="E6" s="7"/>
    </row>
    <row r="7" spans="1:6">
      <c r="A7" s="13">
        <v>2</v>
      </c>
      <c r="B7" s="14" t="s">
        <v>27</v>
      </c>
      <c r="C7" s="98">
        <f>C6*20%</f>
        <v>0.30109752000000001</v>
      </c>
      <c r="D7" s="90"/>
      <c r="E7" s="7"/>
    </row>
    <row r="8" spans="1:6" ht="70.5">
      <c r="A8" s="13">
        <v>3</v>
      </c>
      <c r="B8" s="14" t="s">
        <v>123</v>
      </c>
      <c r="C8" s="98">
        <f>C6+C7</f>
        <v>1.8065851199999998</v>
      </c>
      <c r="D8" s="90"/>
      <c r="E8" s="7"/>
    </row>
    <row r="9" spans="1:6" ht="36">
      <c r="A9" s="13" t="s">
        <v>20</v>
      </c>
      <c r="B9" s="15" t="s">
        <v>124</v>
      </c>
      <c r="C9" s="98"/>
      <c r="D9" s="91"/>
      <c r="E9" s="16"/>
    </row>
    <row r="10" spans="1:6" ht="39">
      <c r="A10" s="13" t="s">
        <v>21</v>
      </c>
      <c r="B10" s="15" t="s">
        <v>125</v>
      </c>
      <c r="C10" s="98">
        <f>C8-C9</f>
        <v>1.8065851199999998</v>
      </c>
      <c r="D10" s="92"/>
      <c r="E10" s="16"/>
    </row>
    <row r="11" spans="1:6" ht="36">
      <c r="A11" s="13" t="s">
        <v>22</v>
      </c>
      <c r="B11" s="15" t="s">
        <v>32</v>
      </c>
      <c r="C11" s="98">
        <f>SUM(C12:C24)</f>
        <v>2.4946103399999999</v>
      </c>
      <c r="D11" s="93" t="s">
        <v>28</v>
      </c>
      <c r="E11" s="17" t="s">
        <v>26</v>
      </c>
    </row>
    <row r="12" spans="1:6">
      <c r="A12" s="13" t="s">
        <v>14</v>
      </c>
      <c r="B12" s="19">
        <v>2023</v>
      </c>
      <c r="C12" s="98"/>
      <c r="D12" s="94" t="s">
        <v>29</v>
      </c>
      <c r="E12" s="97">
        <v>109.096466260827</v>
      </c>
      <c r="F12" s="20"/>
    </row>
    <row r="13" spans="1:6">
      <c r="A13" s="13" t="s">
        <v>15</v>
      </c>
      <c r="B13" s="19">
        <v>2024</v>
      </c>
      <c r="C13" s="98"/>
      <c r="D13" s="94">
        <f>C10*(C13/C11*(100+E13)/200*E12/100)</f>
        <v>0</v>
      </c>
      <c r="E13" s="97">
        <v>109.113503262205</v>
      </c>
      <c r="F13" s="20"/>
    </row>
    <row r="14" spans="1:6">
      <c r="A14" s="13" t="s">
        <v>25</v>
      </c>
      <c r="B14" s="19">
        <v>2025</v>
      </c>
      <c r="C14" s="98"/>
      <c r="D14" s="94">
        <f>C10*(C14/C11*(100+E14)/200*E12/100*E13/100)</f>
        <v>0</v>
      </c>
      <c r="E14" s="97">
        <v>107.81631706396399</v>
      </c>
      <c r="F14" s="20"/>
    </row>
    <row r="15" spans="1:6">
      <c r="A15" s="13" t="s">
        <v>24</v>
      </c>
      <c r="B15" s="19">
        <v>2026</v>
      </c>
      <c r="C15" s="98"/>
      <c r="D15" s="94">
        <f>C10*(C15/C11*(100+E15)/200*E12/100*E13/100*E14/100)</f>
        <v>0</v>
      </c>
      <c r="E15" s="97">
        <v>105.262896868962</v>
      </c>
      <c r="F15" s="20"/>
    </row>
    <row r="16" spans="1:6">
      <c r="A16" s="13" t="s">
        <v>23</v>
      </c>
      <c r="B16" s="19">
        <v>2027</v>
      </c>
      <c r="C16" s="98">
        <v>2.4946103399999999</v>
      </c>
      <c r="D16" s="94">
        <f>C10*(C16/C11*(100+E16)/200*E12/100*E13/100*E14/100*E15/100)</f>
        <v>2.4946103422120989</v>
      </c>
      <c r="E16" s="97">
        <v>104.420897989339</v>
      </c>
      <c r="F16" s="20"/>
    </row>
    <row r="17" spans="1:6">
      <c r="A17" s="13" t="s">
        <v>33</v>
      </c>
      <c r="B17" s="19">
        <v>2028</v>
      </c>
      <c r="C17" s="98"/>
      <c r="D17" s="95">
        <f>C10*(C17/C11*(100+E17)/200*E12/100*E13/100*E14/100*E15/100*E16/100)</f>
        <v>0</v>
      </c>
      <c r="E17" s="97">
        <v>104.420897989339</v>
      </c>
      <c r="F17" s="20"/>
    </row>
    <row r="18" spans="1:6">
      <c r="A18" s="13" t="s">
        <v>34</v>
      </c>
      <c r="B18" s="19">
        <v>2029</v>
      </c>
      <c r="C18" s="98"/>
      <c r="D18" s="95">
        <f>C10*(C18/C11*(100+E18)/200*E12/100*E13/100*E14/100*E15/100*E16/100*E17/100)</f>
        <v>0</v>
      </c>
      <c r="E18" s="97">
        <v>104.420897989339</v>
      </c>
      <c r="F18" s="20"/>
    </row>
    <row r="19" spans="1:6">
      <c r="A19" s="13" t="s">
        <v>35</v>
      </c>
      <c r="B19" s="19">
        <v>2030</v>
      </c>
      <c r="C19" s="98"/>
      <c r="D19" s="94">
        <f>C10*(C19/C11*(100+E19)/200*E12/100*E13/100*E14/100*E15/100*E16/100*E17/100*E18/100)</f>
        <v>0</v>
      </c>
      <c r="E19" s="97">
        <v>104.420897989339</v>
      </c>
      <c r="F19" s="20"/>
    </row>
    <row r="20" spans="1:6">
      <c r="A20" s="13" t="s">
        <v>36</v>
      </c>
      <c r="B20" s="19">
        <v>2031</v>
      </c>
      <c r="C20" s="98"/>
      <c r="D20" s="94">
        <f>C10*(C20/C11*(100+E20)/200*E12/100*E13/100*E14/100*E15/100*E16/100*E17/100*E18/100*E19/100)</f>
        <v>0</v>
      </c>
      <c r="E20" s="97">
        <v>104.420897989339</v>
      </c>
      <c r="F20" s="20"/>
    </row>
    <row r="21" spans="1:6">
      <c r="A21" s="13" t="s">
        <v>37</v>
      </c>
      <c r="B21" s="19">
        <v>2032</v>
      </c>
      <c r="C21" s="98"/>
      <c r="D21" s="94">
        <f>C10*(C21/C11*(100+E21)/200*E12/100*E13/100*E14/100*E15/100*E16/100*E17/100*E18/100*E19/100*E20/100)</f>
        <v>0</v>
      </c>
      <c r="E21" s="97">
        <v>104.420897989339</v>
      </c>
      <c r="F21" s="20"/>
    </row>
    <row r="22" spans="1:6">
      <c r="A22" s="13" t="s">
        <v>38</v>
      </c>
      <c r="B22" s="19">
        <v>2033</v>
      </c>
      <c r="C22" s="98">
        <v>0</v>
      </c>
      <c r="D22" s="94">
        <f>C10*(C22/C11*(100+E22)/200*E12/100*E13/100*E14/100*E15/100*E16/100*E17/100*E18/100*E19/100*E20/100*E21/100)</f>
        <v>0</v>
      </c>
      <c r="E22" s="97">
        <v>104.420897989339</v>
      </c>
      <c r="F22" s="20"/>
    </row>
    <row r="23" spans="1:6">
      <c r="A23" s="13" t="s">
        <v>40</v>
      </c>
      <c r="B23" s="19">
        <v>2034</v>
      </c>
      <c r="C23" s="98">
        <v>0</v>
      </c>
      <c r="D23" s="94">
        <f>C10*(C23/C11*(100+E23)/200*E12/100*E13/100*E14/100*E15/100*E16/100*E17/100*E18/100*E19/100*E20/100*E21/100*E22/100)</f>
        <v>0</v>
      </c>
      <c r="E23" s="97">
        <v>104.420897989339</v>
      </c>
      <c r="F23" s="20"/>
    </row>
    <row r="24" spans="1:6">
      <c r="A24" s="13" t="s">
        <v>41</v>
      </c>
      <c r="B24" s="19">
        <v>2035</v>
      </c>
      <c r="C24" s="98">
        <v>0</v>
      </c>
      <c r="D24" s="94">
        <f>C10*(C24/C11*(100+E24)/200*E12/100*E13/100*E14/100*E15/100*E16/100*E17/100*E18/100*E19/100*E20/100*E21/100*E22/100*E23/100)</f>
        <v>0</v>
      </c>
      <c r="E24" s="97">
        <v>104.420897989339</v>
      </c>
      <c r="F24" s="20"/>
    </row>
    <row r="25" spans="1:6" ht="20.25">
      <c r="A25" s="13" t="s">
        <v>19</v>
      </c>
      <c r="B25" s="21" t="s">
        <v>126</v>
      </c>
      <c r="C25" s="98">
        <f>C9+C10*(C12/C11*(100+E12)/200+C13/C11*(100+E13)/200*E12/100+C14/C11*(100+E14)/200*E12/100*E13/100+C15/C11*(100+E15)/200*E12/100*E13/100*E14/100+C16/C11*(100+E16)/200*E12/100*E13/100*E14/100*E15/100+C17/C11*(100+E17)/200*E12/100*E13/100*E14/100*E15/100*E16/100+C18/C11*(100+E18)/200*E12/100*E13/100*E14/100*E15/100*E16/100*E17/100+C19/C11*(100+E19)/200*E12/100*E13/100*E14/100*E15/100*E16/100*E17/100*E18/100+C20/C11*(100+E20)/200*E12/100*E13/100*E14/100*E15/100*E16/100*E17/100*E18/100*E19/100+C21/C11*(100+E21)/200*E12/100*E13/100*E14/100*E15/100*E16/100*E17/100*E18/100*E19/100*E20/100+C22/C11*(100+E22)/200*E12/100*E13/100*E14/100*E15/100*E16/100*E17/100*E18/100*E19/100*E20/100*E21/100+C23/C11*(100+E23)/200*E12/100*E13/100*E14/100*E15/100*E16/100*E17/100*E18/100*E19/100*E20/100*E21/100*E22/100+C24/C11*(100+E24)/200*E12/100*E13/100*E14/100*E15/100*E16/100*E17/100*E18/100*E19/100*E20/100*E21/100*E22/100*E23/100)</f>
        <v>2.4946103422120989</v>
      </c>
      <c r="D25" s="95">
        <f>C9+SUM(D13:D24)+C10*(C12/C11*(100+E12)/200)</f>
        <v>2.4946103422120989</v>
      </c>
      <c r="E25" s="10"/>
      <c r="F25" s="22"/>
    </row>
    <row r="26" spans="1:6">
      <c r="C26" s="98"/>
      <c r="D26" s="96"/>
    </row>
    <row r="27" spans="1:6">
      <c r="B27" s="3" t="s">
        <v>129</v>
      </c>
      <c r="C27" s="98">
        <f>C8</f>
        <v>1.8065851199999998</v>
      </c>
      <c r="D27" s="96"/>
    </row>
    <row r="28" spans="1:6">
      <c r="B28" s="3" t="s">
        <v>130</v>
      </c>
      <c r="C28" s="98">
        <f>C25</f>
        <v>2.4946103422120989</v>
      </c>
      <c r="D28" s="96"/>
    </row>
  </sheetData>
  <mergeCells count="1">
    <mergeCell ref="A2:C3"/>
  </mergeCells>
  <pageMargins left="0.47244094488188981" right="0.55118110236220474" top="0.82677165354330717" bottom="0.55118110236220474" header="0.31496062992125984" footer="0.19685039370078741"/>
  <pageSetup paperSize="9" scale="8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  </vt:lpstr>
      <vt:lpstr>т5!Заголовки_для_печати</vt:lpstr>
      <vt:lpstr>'Т6  '!Заголовки_для_печати</vt:lpstr>
      <vt:lpstr>т5!Область_печати</vt:lpstr>
      <vt:lpstr>'Т6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2019-02-25T05:18:58Z</cp:lastPrinted>
  <dcterms:created xsi:type="dcterms:W3CDTF">2009-07-27T10:10:26Z</dcterms:created>
  <dcterms:modified xsi:type="dcterms:W3CDTF">2025-04-23T14:16:18Z</dcterms:modified>
</cp:coreProperties>
</file>